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https://d.docs.live.net/31688d9c14ea51a2/Documentos/Exercicio 2025/PORTAL DA TRANSPARÊNCIA/"/>
    </mc:Choice>
  </mc:AlternateContent>
  <xr:revisionPtr revIDLastSave="6" documentId="13_ncr:1_{F504FA8D-4E30-4424-A5B4-D3B8647DF0F8}" xr6:coauthVersionLast="47" xr6:coauthVersionMax="47" xr10:uidLastSave="{FB70B735-0FD7-4229-AC5A-56BA690CCAC3}"/>
  <bookViews>
    <workbookView xWindow="-120" yWindow="-120" windowWidth="20730" windowHeight="11040" tabRatio="735" firstSheet="3" activeTab="6" xr2:uid="{3EA33A36-2464-496B-903F-6F899121EFA1}"/>
  </bookViews>
  <sheets>
    <sheet name="DF" sheetId="2" r:id="rId1"/>
    <sheet name="Siglas" sheetId="9" r:id="rId2"/>
    <sheet name="Janeiro 2025" sheetId="74" r:id="rId3"/>
    <sheet name="Fevereiro 2025" sheetId="75" r:id="rId4"/>
    <sheet name="Marco 2025" sheetId="76" r:id="rId5"/>
    <sheet name="Abril 2025 " sheetId="77" r:id="rId6"/>
    <sheet name="Maio 2025" sheetId="78" r:id="rId7"/>
  </sheets>
  <definedNames>
    <definedName name="_xlnm._FilterDatabase" localSheetId="5" hidden="1">'Abril 2025 '!$A$1:$O$68</definedName>
    <definedName name="_xlnm._FilterDatabase" localSheetId="3" hidden="1">'Fevereiro 2025'!$A$1:$O$66</definedName>
    <definedName name="_xlnm._FilterDatabase" localSheetId="2" hidden="1">'Janeiro 2025'!$A$1:$O$65</definedName>
    <definedName name="_xlnm._FilterDatabase" localSheetId="6" hidden="1">'Maio 2025'!$A$1:$O$68</definedName>
    <definedName name="_xlnm._FilterDatabase" localSheetId="4" hidden="1">'Marco 2025'!$A$1:$O$66</definedName>
  </definedNames>
  <calcPr calcId="191028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7" i="78" l="1"/>
  <c r="J36" i="78"/>
  <c r="J31" i="78"/>
  <c r="J30" i="78"/>
  <c r="J28" i="78"/>
  <c r="J27" i="78"/>
  <c r="J26" i="78"/>
  <c r="J25" i="78"/>
  <c r="J22" i="78"/>
  <c r="J16" i="78"/>
  <c r="J15" i="78"/>
  <c r="I15" i="78"/>
  <c r="I6" i="78"/>
  <c r="I10" i="78"/>
  <c r="K10" i="78" s="1"/>
  <c r="I60" i="78"/>
  <c r="J29" i="78"/>
  <c r="I29" i="78"/>
  <c r="I27" i="78"/>
  <c r="K15" i="78"/>
  <c r="J32" i="78"/>
  <c r="I32" i="78"/>
  <c r="I30" i="78"/>
  <c r="J19" i="78"/>
  <c r="I19" i="78"/>
  <c r="I26" i="78"/>
  <c r="J39" i="78"/>
  <c r="I39" i="78"/>
  <c r="I28" i="78"/>
  <c r="I37" i="78"/>
  <c r="I16" i="78"/>
  <c r="I23" i="78"/>
  <c r="I36" i="78"/>
  <c r="I22" i="78"/>
  <c r="I25" i="78"/>
  <c r="I31" i="78"/>
  <c r="K53" i="78"/>
  <c r="I18" i="78"/>
  <c r="K8" i="78"/>
  <c r="K9" i="78"/>
  <c r="I2" i="78"/>
  <c r="I4" i="78"/>
  <c r="J64" i="78" l="1"/>
  <c r="H64" i="78"/>
  <c r="K63" i="78"/>
  <c r="K62" i="78"/>
  <c r="K61" i="78"/>
  <c r="K60" i="78"/>
  <c r="K59" i="78"/>
  <c r="I58" i="78"/>
  <c r="K58" i="78" s="1"/>
  <c r="K57" i="78"/>
  <c r="K56" i="78"/>
  <c r="K55" i="78"/>
  <c r="K54" i="78"/>
  <c r="K52" i="78"/>
  <c r="K51" i="78"/>
  <c r="K50" i="78"/>
  <c r="K49" i="78"/>
  <c r="K48" i="78"/>
  <c r="K47" i="78"/>
  <c r="K46" i="78"/>
  <c r="K45" i="78"/>
  <c r="K44" i="78"/>
  <c r="K43" i="78"/>
  <c r="K42" i="78"/>
  <c r="K41" i="78"/>
  <c r="K40" i="78"/>
  <c r="K39" i="78"/>
  <c r="K38" i="78"/>
  <c r="K37" i="78"/>
  <c r="K36" i="78"/>
  <c r="K35" i="78"/>
  <c r="K34" i="78"/>
  <c r="K33" i="78"/>
  <c r="K32" i="78"/>
  <c r="K31" i="78"/>
  <c r="K30" i="78"/>
  <c r="K29" i="78"/>
  <c r="K28" i="78"/>
  <c r="K27" i="78"/>
  <c r="K26" i="78"/>
  <c r="K25" i="78"/>
  <c r="K24" i="78"/>
  <c r="K23" i="78"/>
  <c r="K22" i="78"/>
  <c r="K21" i="78"/>
  <c r="K20" i="78"/>
  <c r="K19" i="78"/>
  <c r="K18" i="78"/>
  <c r="K17" i="78"/>
  <c r="K16" i="78"/>
  <c r="K14" i="78"/>
  <c r="K13" i="78"/>
  <c r="K12" i="78"/>
  <c r="K11" i="78"/>
  <c r="K7" i="78"/>
  <c r="K6" i="78"/>
  <c r="K5" i="78"/>
  <c r="K4" i="78"/>
  <c r="K3" i="78"/>
  <c r="K2" i="78"/>
  <c r="K47" i="77"/>
  <c r="K46" i="77"/>
  <c r="K42" i="77"/>
  <c r="I39" i="77"/>
  <c r="I30" i="77"/>
  <c r="I18" i="77"/>
  <c r="K28" i="77"/>
  <c r="K26" i="77"/>
  <c r="K24" i="77"/>
  <c r="K23" i="77"/>
  <c r="K3" i="77"/>
  <c r="K2" i="77"/>
  <c r="K22" i="77"/>
  <c r="K21" i="77"/>
  <c r="K20" i="77"/>
  <c r="K18" i="77"/>
  <c r="K17" i="77"/>
  <c r="K16" i="77"/>
  <c r="K15" i="77"/>
  <c r="K10" i="77"/>
  <c r="K9" i="77"/>
  <c r="K8" i="77"/>
  <c r="K7" i="77"/>
  <c r="I5" i="77"/>
  <c r="K5" i="77" s="1"/>
  <c r="I6" i="77"/>
  <c r="K6" i="77" s="1"/>
  <c r="I2" i="77"/>
  <c r="I4" i="77"/>
  <c r="K4" i="77" s="1"/>
  <c r="I2" i="76"/>
  <c r="K3" i="76"/>
  <c r="K4" i="76"/>
  <c r="K5" i="76"/>
  <c r="K6" i="76"/>
  <c r="K7" i="76"/>
  <c r="K8" i="76"/>
  <c r="K9" i="76"/>
  <c r="K10" i="76"/>
  <c r="K11" i="76"/>
  <c r="K12" i="76"/>
  <c r="K13" i="76"/>
  <c r="K14" i="76"/>
  <c r="K15" i="76"/>
  <c r="K16" i="76"/>
  <c r="K17" i="76"/>
  <c r="K18" i="76"/>
  <c r="K19" i="76"/>
  <c r="K20" i="76"/>
  <c r="K21" i="76"/>
  <c r="K22" i="76"/>
  <c r="K23" i="76"/>
  <c r="K24" i="76"/>
  <c r="K25" i="76"/>
  <c r="K26" i="76"/>
  <c r="K27" i="76"/>
  <c r="K28" i="76"/>
  <c r="K29" i="76"/>
  <c r="K30" i="76"/>
  <c r="K31" i="76"/>
  <c r="K32" i="76"/>
  <c r="K33" i="76"/>
  <c r="K34" i="76"/>
  <c r="K35" i="76"/>
  <c r="K36" i="76"/>
  <c r="K37" i="76"/>
  <c r="K38" i="76"/>
  <c r="K39" i="76"/>
  <c r="K40" i="76"/>
  <c r="K41" i="76"/>
  <c r="K42" i="76"/>
  <c r="K43" i="76"/>
  <c r="K44" i="76"/>
  <c r="K45" i="76"/>
  <c r="K46" i="76"/>
  <c r="K47" i="76"/>
  <c r="K48" i="76"/>
  <c r="K49" i="76"/>
  <c r="K50" i="76"/>
  <c r="K51" i="76"/>
  <c r="K52" i="76"/>
  <c r="K53" i="76"/>
  <c r="K54" i="76"/>
  <c r="K55" i="76"/>
  <c r="K56" i="76"/>
  <c r="K57" i="76"/>
  <c r="K58" i="76"/>
  <c r="K59" i="76"/>
  <c r="K60" i="76"/>
  <c r="K61" i="76"/>
  <c r="K3" i="75"/>
  <c r="K4" i="75"/>
  <c r="K25" i="77"/>
  <c r="K19" i="77"/>
  <c r="K14" i="77"/>
  <c r="K13" i="77"/>
  <c r="K11" i="77"/>
  <c r="K2" i="76"/>
  <c r="J64" i="77"/>
  <c r="H64" i="77"/>
  <c r="K63" i="77"/>
  <c r="K62" i="77"/>
  <c r="K61" i="77"/>
  <c r="K60" i="77"/>
  <c r="K59" i="77"/>
  <c r="I58" i="77"/>
  <c r="K57" i="77"/>
  <c r="K56" i="77"/>
  <c r="K55" i="77"/>
  <c r="K54" i="77"/>
  <c r="K53" i="77"/>
  <c r="K52" i="77"/>
  <c r="K51" i="77"/>
  <c r="K50" i="77"/>
  <c r="K49" i="77"/>
  <c r="K48" i="77"/>
  <c r="K45" i="77"/>
  <c r="K44" i="77"/>
  <c r="K43" i="77"/>
  <c r="K41" i="77"/>
  <c r="K40" i="77"/>
  <c r="K39" i="77"/>
  <c r="K38" i="77"/>
  <c r="K37" i="77"/>
  <c r="K36" i="77"/>
  <c r="K35" i="77"/>
  <c r="K34" i="77"/>
  <c r="K33" i="77"/>
  <c r="K32" i="77"/>
  <c r="K31" i="77"/>
  <c r="K30" i="77"/>
  <c r="K29" i="77"/>
  <c r="K27" i="77"/>
  <c r="K12" i="77"/>
  <c r="I40" i="76"/>
  <c r="I6" i="76"/>
  <c r="I5" i="76"/>
  <c r="I4" i="76"/>
  <c r="J62" i="76"/>
  <c r="H62" i="76"/>
  <c r="I56" i="76"/>
  <c r="I3" i="76"/>
  <c r="J62" i="75"/>
  <c r="I62" i="75"/>
  <c r="I2" i="75"/>
  <c r="I3" i="75"/>
  <c r="I4" i="75"/>
  <c r="I6" i="75"/>
  <c r="I17" i="75"/>
  <c r="K17" i="75" s="1"/>
  <c r="I13" i="75"/>
  <c r="K45" i="75"/>
  <c r="K41" i="75"/>
  <c r="H62" i="75"/>
  <c r="K61" i="75"/>
  <c r="K60" i="75"/>
  <c r="K59" i="75"/>
  <c r="K58" i="75"/>
  <c r="K57" i="75"/>
  <c r="K56" i="75"/>
  <c r="K55" i="75"/>
  <c r="I54" i="75"/>
  <c r="K54" i="75" s="1"/>
  <c r="K53" i="75"/>
  <c r="K52" i="75"/>
  <c r="K51" i="75"/>
  <c r="K50" i="75"/>
  <c r="K49" i="75"/>
  <c r="K48" i="75"/>
  <c r="K47" i="75"/>
  <c r="K46" i="75"/>
  <c r="K44" i="75"/>
  <c r="K43" i="75"/>
  <c r="K42" i="75"/>
  <c r="K40" i="75"/>
  <c r="K39" i="75"/>
  <c r="K38" i="75"/>
  <c r="K37" i="75"/>
  <c r="K36" i="75"/>
  <c r="K35" i="75"/>
  <c r="K34" i="75"/>
  <c r="K33" i="75"/>
  <c r="K32" i="75"/>
  <c r="K31" i="75"/>
  <c r="K30" i="75"/>
  <c r="K29" i="75"/>
  <c r="K28" i="75"/>
  <c r="K27" i="75"/>
  <c r="K26" i="75"/>
  <c r="K25" i="75"/>
  <c r="K24" i="75"/>
  <c r="K23" i="75"/>
  <c r="K22" i="75"/>
  <c r="K21" i="75"/>
  <c r="K20" i="75"/>
  <c r="K19" i="75"/>
  <c r="K18" i="75"/>
  <c r="K16" i="75"/>
  <c r="K15" i="75"/>
  <c r="K14" i="75"/>
  <c r="K13" i="75"/>
  <c r="K12" i="75"/>
  <c r="K11" i="75"/>
  <c r="K10" i="75"/>
  <c r="K9" i="75"/>
  <c r="K8" i="75"/>
  <c r="K7" i="75"/>
  <c r="K6" i="75"/>
  <c r="K5" i="75"/>
  <c r="I3" i="74"/>
  <c r="I4" i="74"/>
  <c r="K4" i="74" s="1"/>
  <c r="I2" i="74"/>
  <c r="I61" i="74" s="1"/>
  <c r="K2" i="74"/>
  <c r="K56" i="74"/>
  <c r="K48" i="74"/>
  <c r="K47" i="74"/>
  <c r="K46" i="74"/>
  <c r="K45" i="74"/>
  <c r="K44" i="74"/>
  <c r="K43" i="74"/>
  <c r="K42" i="74"/>
  <c r="K41" i="74"/>
  <c r="K40" i="74"/>
  <c r="K39" i="74"/>
  <c r="K38" i="74"/>
  <c r="K37" i="74"/>
  <c r="K36" i="74"/>
  <c r="K35" i="74"/>
  <c r="K34" i="74"/>
  <c r="K33" i="74"/>
  <c r="K32" i="74"/>
  <c r="K31" i="74"/>
  <c r="K30" i="74"/>
  <c r="K27" i="74"/>
  <c r="K26" i="74"/>
  <c r="K25" i="74"/>
  <c r="K24" i="74"/>
  <c r="K23" i="74"/>
  <c r="K22" i="74"/>
  <c r="K21" i="74"/>
  <c r="K20" i="74"/>
  <c r="K19" i="74"/>
  <c r="K18" i="74"/>
  <c r="K17" i="74"/>
  <c r="K16" i="74"/>
  <c r="K15" i="74"/>
  <c r="K14" i="74"/>
  <c r="K13" i="74"/>
  <c r="K12" i="74"/>
  <c r="K9" i="74"/>
  <c r="K8" i="74"/>
  <c r="K7" i="74"/>
  <c r="K28" i="74"/>
  <c r="K52" i="74"/>
  <c r="J61" i="74"/>
  <c r="K6" i="74"/>
  <c r="K5" i="74"/>
  <c r="K29" i="74"/>
  <c r="K10" i="74"/>
  <c r="K11" i="74"/>
  <c r="K49" i="74"/>
  <c r="K50" i="74"/>
  <c r="K51" i="74"/>
  <c r="K54" i="74"/>
  <c r="K55" i="74"/>
  <c r="K57" i="74"/>
  <c r="K58" i="74"/>
  <c r="K59" i="74"/>
  <c r="K60" i="74"/>
  <c r="H61" i="74"/>
  <c r="I53" i="74"/>
  <c r="K53" i="74" s="1"/>
  <c r="K64" i="78" l="1"/>
  <c r="I64" i="78"/>
  <c r="I64" i="77"/>
  <c r="K58" i="77"/>
  <c r="K64" i="77" s="1"/>
  <c r="K62" i="75"/>
  <c r="I62" i="76"/>
  <c r="K62" i="76"/>
  <c r="K2" i="75"/>
  <c r="K3" i="74"/>
  <c r="K61" i="74" s="1"/>
</calcChain>
</file>

<file path=xl/sharedStrings.xml><?xml version="1.0" encoding="utf-8"?>
<sst xmlns="http://schemas.openxmlformats.org/spreadsheetml/2006/main" count="2073" uniqueCount="296">
  <si>
    <t>PORTAL DA TRANSPARÊNCIA DA FUNDAÇÃO ARAUCÁRIA</t>
  </si>
  <si>
    <t xml:space="preserve">DEMONSTRATIVO FUNCIONAL </t>
  </si>
  <si>
    <t>A Diretoria Executiva da Fundação Araucária de Apoio ao Desenvolvimento Científico e Tecnológico do Estado do Paraná, órgão da administração indireta do Governo do Estado do Paraná, vinculado à Secretaria de Ciência, Tecnologia e Ensino Superior do Estado do Paraná, em atenção à Lei Federal 13.460/2017 (Lei dos Direitos do Usuário de Serviços Públicos); Decreto Federal 8.777/2016 (Decreto dos Dados Abertos); Decreto Estadual 2.156/2015 (Decreto da Qualidade da Gestão Pública); Decreto Estadual 10.285/2014 (Decreto da Garantia de Acesso à Informação); Decreto Federal 7.724/2012 (Decreto da LAI); Lei Federal 12.527/2011 (Lei da LAI) e em conformidade com a Constituição do Estado do Paraná (Art. 234), divulga a Lista Funcional vigente, com as relações de funcionários, cargos e local de exercício das funções, conforme planilhas mensais, a seguir.</t>
  </si>
  <si>
    <t>Curitiba, 31 de janeiro de 2020.</t>
  </si>
  <si>
    <t>__________________________________________</t>
  </si>
  <si>
    <t>Gerson Koch - Diretor de Administração e Finanças</t>
  </si>
  <si>
    <t>Celia de Oliveira Corso - SERHU</t>
  </si>
  <si>
    <t>SETORES</t>
  </si>
  <si>
    <t>ACET</t>
  </si>
  <si>
    <t xml:space="preserve">AssessorIa de Ciência e Tecnologia </t>
  </si>
  <si>
    <t>ACOM</t>
  </si>
  <si>
    <t>Assessoria de Comunicação</t>
  </si>
  <si>
    <t>ADCTI</t>
  </si>
  <si>
    <t>Assessoria da DCTI</t>
  </si>
  <si>
    <t>AINTER</t>
  </si>
  <si>
    <t>Assessoria de Internacionalização</t>
  </si>
  <si>
    <t>AJUR</t>
  </si>
  <si>
    <t>Assessoria Jurídica</t>
  </si>
  <si>
    <t>APRES</t>
  </si>
  <si>
    <t>Assessoria de Projetos da Presidência</t>
  </si>
  <si>
    <t>ARI</t>
  </si>
  <si>
    <t>Assessoria de Relações Institucionais</t>
  </si>
  <si>
    <t>DAF</t>
  </si>
  <si>
    <t>Diretoria de Administração e Finanças</t>
  </si>
  <si>
    <t>DCTI</t>
  </si>
  <si>
    <t>Diretoria de Ciência, Tecnologia e Inovação</t>
  </si>
  <si>
    <t>GCTI</t>
  </si>
  <si>
    <t>Gerência de Ciência, Tecnologia e Inovação</t>
  </si>
  <si>
    <t>GPED</t>
  </si>
  <si>
    <t>Gerência de Pesquisa e Desenvolvimento</t>
  </si>
  <si>
    <t>SEADM</t>
  </si>
  <si>
    <t xml:space="preserve">Setor de Apoio Administrativo </t>
  </si>
  <si>
    <t>SEAPC</t>
  </si>
  <si>
    <t>Setor de Análise de Prestações de Contas</t>
  </si>
  <si>
    <t>SECET</t>
  </si>
  <si>
    <t xml:space="preserve">Setor de Ciência e Tecnologia </t>
  </si>
  <si>
    <t>SECON</t>
  </si>
  <si>
    <t>Setor de Convênios</t>
  </si>
  <si>
    <t>SECRE</t>
  </si>
  <si>
    <t>Secretaria da Diretoria</t>
  </si>
  <si>
    <t>SEFIN</t>
  </si>
  <si>
    <t>Setor Contábil-Financeiro</t>
  </si>
  <si>
    <t>SENAPI</t>
  </si>
  <si>
    <t>Setor dos Novos Arranjos de Pesquisa e Inovação</t>
  </si>
  <si>
    <t>SERHU</t>
  </si>
  <si>
    <t>Setor de Recursos Humanos</t>
  </si>
  <si>
    <t>SETIC</t>
  </si>
  <si>
    <t>Setor de Tecnologia da Informação e Comunicação</t>
  </si>
  <si>
    <t>SINOV</t>
  </si>
  <si>
    <t>Setor de Inovação</t>
  </si>
  <si>
    <t>CARGOS</t>
  </si>
  <si>
    <t xml:space="preserve">ATA I </t>
  </si>
  <si>
    <t xml:space="preserve">Assistente Técnico-Administrativo 1 </t>
  </si>
  <si>
    <t>ATA II</t>
  </si>
  <si>
    <t xml:space="preserve">Assistente Técnico-Administrativo 2 </t>
  </si>
  <si>
    <t>TNS I</t>
  </si>
  <si>
    <t>Técnico de Nível Superior - Pleno</t>
  </si>
  <si>
    <t>TNS II</t>
  </si>
  <si>
    <t>Técnico de Nível Superior - Sênior</t>
  </si>
  <si>
    <t>TNS III</t>
  </si>
  <si>
    <t>Técnico de Nível Superior - Master</t>
  </si>
  <si>
    <t>OUTROS ÓRGÃOS</t>
  </si>
  <si>
    <t>SETI</t>
  </si>
  <si>
    <t>Secretaria de Ciência Tecnologia e Ensino Superior do Estado do Paraná</t>
  </si>
  <si>
    <t>UEF</t>
  </si>
  <si>
    <t>Unidade Executora do Fundo Paraná</t>
  </si>
  <si>
    <t>BOLSAS</t>
  </si>
  <si>
    <t>NAPI</t>
  </si>
  <si>
    <t>Novos Arranjos de Pesquisa e Inovação</t>
  </si>
  <si>
    <t>Peiex</t>
  </si>
  <si>
    <t>Programa de Qualificação para Exportação (Convênio: Agência Brasileira de Promoção de Exportações - APEX)</t>
  </si>
  <si>
    <t>Senar-PR</t>
  </si>
  <si>
    <t>Programa Paranaense de Apoio à Agropesquisa e Formação Aplicada em Rede (Parceria: Senar-PR)</t>
  </si>
  <si>
    <t>Sinapse</t>
  </si>
  <si>
    <t>Programa Sinapse da Inovação Paraná (Contrato: CERTI)</t>
  </si>
  <si>
    <t>Startups</t>
  </si>
  <si>
    <t>Programa de Apoio ao Sistema Regional de Inovação do Norte Pioneiro do Estado do Paraná (Parceria: Sebrae PR)</t>
  </si>
  <si>
    <t>Relação Funcional</t>
  </si>
  <si>
    <t>Matrícula</t>
  </si>
  <si>
    <t>Categoria Salarial</t>
  </si>
  <si>
    <t>Cargo</t>
  </si>
  <si>
    <t>Função</t>
  </si>
  <si>
    <t>Setor</t>
  </si>
  <si>
    <t>Regime de Horas</t>
  </si>
  <si>
    <t>Salário Bruto (R$)</t>
  </si>
  <si>
    <t>Vencimentos (R$)</t>
  </si>
  <si>
    <t>Descontos (R$)</t>
  </si>
  <si>
    <t>Salário Líquido (R$)</t>
  </si>
  <si>
    <t>Observações</t>
  </si>
  <si>
    <t>Ramiro Wahrhaftig</t>
  </si>
  <si>
    <t>D.5</t>
  </si>
  <si>
    <t>E 14</t>
  </si>
  <si>
    <t>TNS Master</t>
  </si>
  <si>
    <t>Presidente</t>
  </si>
  <si>
    <t>PRES</t>
  </si>
  <si>
    <t>Pro-Labore + Diárias + Reembolso Plano Saúde</t>
  </si>
  <si>
    <t>Gerson Koch</t>
  </si>
  <si>
    <t>D.6</t>
  </si>
  <si>
    <t>E 13</t>
  </si>
  <si>
    <t>Diretor</t>
  </si>
  <si>
    <t>Pro-Labore + Reembolso Plano Saúde + Diárias</t>
  </si>
  <si>
    <t>Luis Márcio Spinosa</t>
  </si>
  <si>
    <t>D.7</t>
  </si>
  <si>
    <t xml:space="preserve">Pro-Labore + Diárias </t>
  </si>
  <si>
    <t>Fátima Aparecida da Cruz Padoan</t>
  </si>
  <si>
    <t>GF 2</t>
  </si>
  <si>
    <t>Gerente</t>
  </si>
  <si>
    <t>20% do GF2 + Diárias + Adic  1/3 Férias</t>
  </si>
  <si>
    <t>Nilceu Jacob Deitos</t>
  </si>
  <si>
    <t>D.9</t>
  </si>
  <si>
    <t>Cristianne Cordeiro Nascimento</t>
  </si>
  <si>
    <t xml:space="preserve">Assessora </t>
  </si>
  <si>
    <t>40h/sem</t>
  </si>
  <si>
    <t>Debora de Mello Gonçales Sant' Ana</t>
  </si>
  <si>
    <t>Eliane Segati Rios</t>
  </si>
  <si>
    <t>Diárias</t>
  </si>
  <si>
    <t>Linnyer Beatriz Ruiz Aylon</t>
  </si>
  <si>
    <t>30h/sem</t>
  </si>
  <si>
    <t>Rosana Malheiros Gaertner</t>
  </si>
  <si>
    <t>Barbara Sayuri Poffo Taniguti</t>
  </si>
  <si>
    <t>C 04</t>
  </si>
  <si>
    <t>TNS Pleno</t>
  </si>
  <si>
    <t>Analista</t>
  </si>
  <si>
    <t>Salário + Férias coletivas</t>
  </si>
  <si>
    <t>Caroline Da Rocha Franco</t>
  </si>
  <si>
    <t>Celia de Oliveira Corso</t>
  </si>
  <si>
    <t>D 05</t>
  </si>
  <si>
    <t>TNS Senior</t>
  </si>
  <si>
    <t>Chefe de Setor</t>
  </si>
  <si>
    <t xml:space="preserve">Cleber Prechlak </t>
  </si>
  <si>
    <t>B 15</t>
  </si>
  <si>
    <t>Salário + Férias coletivas + Gratificação + Adic Graduação + Adic de Responsabilidade</t>
  </si>
  <si>
    <t>Deise Elenice Bajerski Pigatto</t>
  </si>
  <si>
    <t>D 08</t>
  </si>
  <si>
    <t>Deyvid Oliveira dos Anjos</t>
  </si>
  <si>
    <t>Salário + Férias coletivas+ Reembolso Plano Saúde</t>
  </si>
  <si>
    <t>Diego Iwankio</t>
  </si>
  <si>
    <t>Salário + Férias coletivas + Reembolso Pl. Saúde + Curso + Gratificação + Adic. Graduação e Responsabilidade</t>
  </si>
  <si>
    <t>Edson Smith</t>
  </si>
  <si>
    <t>D 04</t>
  </si>
  <si>
    <t>Salário + Reembolso Plano de Saúde</t>
  </si>
  <si>
    <t>Eny Rigoni Chiesorin</t>
  </si>
  <si>
    <t>B 11</t>
  </si>
  <si>
    <t>Assistente</t>
  </si>
  <si>
    <t>Salário + Reembolso Plano de Saúde + Adic Graduação</t>
  </si>
  <si>
    <t>Fernanda Carine Scheidt</t>
  </si>
  <si>
    <t>Salário + Férias + Gratificação</t>
  </si>
  <si>
    <t>Giselle G. Muller Gonçalves</t>
  </si>
  <si>
    <t>D 03</t>
  </si>
  <si>
    <t>Guilherme Pelanda Onofre</t>
  </si>
  <si>
    <t>C 08</t>
  </si>
  <si>
    <t>Joana O. Chrestenzen</t>
  </si>
  <si>
    <t>Joelson Miranda</t>
  </si>
  <si>
    <t>Contador</t>
  </si>
  <si>
    <t xml:space="preserve">Salário + Férias + Reembolso Plano de Saúde + Gratificação </t>
  </si>
  <si>
    <t>Jossiane Carla Gazzoni</t>
  </si>
  <si>
    <t>Salário + Férias Coletivas + Gratificação</t>
  </si>
  <si>
    <t xml:space="preserve">Julio Cezar Bittencourt Silva </t>
  </si>
  <si>
    <t>E 04</t>
  </si>
  <si>
    <t>Salário + Férias Coletivas + Reembolso Plano de Saúde + Gratificação</t>
  </si>
  <si>
    <t>Luan Baptista da Silva</t>
  </si>
  <si>
    <t>E 01</t>
  </si>
  <si>
    <t>Advogado</t>
  </si>
  <si>
    <t xml:space="preserve">Salário + Férias Coletivas + Gratificação </t>
  </si>
  <si>
    <t>Luis Guilherme B. Goetzke</t>
  </si>
  <si>
    <t xml:space="preserve">Salário + Férias Coletivas +Férias + Gratificação + Adic Graduação e Responsabilidade </t>
  </si>
  <si>
    <t>Marcelo Barao Cabral</t>
  </si>
  <si>
    <t>D 07</t>
  </si>
  <si>
    <t>Mariuse Buczak Rothemburg</t>
  </si>
  <si>
    <t>B 12</t>
  </si>
  <si>
    <t>Salário + Férias Coletivas + Gratificação + Adic Graduação</t>
  </si>
  <si>
    <t>Marly Terezinha Barao</t>
  </si>
  <si>
    <t>Salário + Férias + Adic de Graduação</t>
  </si>
  <si>
    <t>Mayumi Seto Takeguma</t>
  </si>
  <si>
    <t>C 03</t>
  </si>
  <si>
    <t>Monica Mazzei Florecki</t>
  </si>
  <si>
    <t>C 09</t>
  </si>
  <si>
    <t>Simone F. Da Silva Cardoso</t>
  </si>
  <si>
    <t>B 14</t>
  </si>
  <si>
    <t>Salário + Férias + Adic de graduação + Adic de  Resposabilidade</t>
  </si>
  <si>
    <t>Sueli Pires</t>
  </si>
  <si>
    <t xml:space="preserve">Salário + Férias + Reembolso Plano de Saúde + Gratificação  </t>
  </si>
  <si>
    <t>Tarcisio Lindislei P. Batalhoto</t>
  </si>
  <si>
    <t>Ticiane B. Galdino da Silva</t>
  </si>
  <si>
    <t>Jornalista</t>
  </si>
  <si>
    <t>25h/sem</t>
  </si>
  <si>
    <t>Salário + Férias + Reembolso Plano de Saúde</t>
  </si>
  <si>
    <t>Vanessa Costa Bruzetti</t>
  </si>
  <si>
    <t>Vanessa Rita Barazzetti</t>
  </si>
  <si>
    <t>Deivd Martins da Silva</t>
  </si>
  <si>
    <t>Estagiário</t>
  </si>
  <si>
    <t>Apoio</t>
  </si>
  <si>
    <t>Bolsa + Auxílio Transporte</t>
  </si>
  <si>
    <t>Emily Sthefanny de Souza Reis</t>
  </si>
  <si>
    <t>Estagiária</t>
  </si>
  <si>
    <t>Karin Regina Muller</t>
  </si>
  <si>
    <t>Lucas Henrique Kober</t>
  </si>
  <si>
    <t>Mariana Lazier Sarturi</t>
  </si>
  <si>
    <t>Matheus Rezende Bueno</t>
  </si>
  <si>
    <t>Nathali Colly dos Santos Gonçalves</t>
  </si>
  <si>
    <t>Rescisão de Contrato</t>
  </si>
  <si>
    <t>Roberta Chamberlain</t>
  </si>
  <si>
    <t>Sofia Renosto dias de Almeida</t>
  </si>
  <si>
    <t>Veronica Kujavski Klondatsch</t>
  </si>
  <si>
    <t>Vitor Yuji Kiemo</t>
  </si>
  <si>
    <t>Armando Heilmann</t>
  </si>
  <si>
    <t>Bolsista</t>
  </si>
  <si>
    <t>Research</t>
  </si>
  <si>
    <t xml:space="preserve">Bolsa - Programa Napi Gestão/Difusão CT&amp;I </t>
  </si>
  <si>
    <t>Awdry Feisser Miquelin</t>
  </si>
  <si>
    <t>Caroline Coradassi Almeida</t>
  </si>
  <si>
    <t>Cleverson Vitorio Andreoli</t>
  </si>
  <si>
    <t>SENAR</t>
  </si>
  <si>
    <t xml:space="preserve">Bolsa - Programa Senar-PR </t>
  </si>
  <si>
    <t>Deborah Bernett Leal da Silva</t>
  </si>
  <si>
    <t>Lays Maria Freitas Netto</t>
  </si>
  <si>
    <t>Marcia Maria Fernandes</t>
  </si>
  <si>
    <t>Maria Isabel Gaidex</t>
  </si>
  <si>
    <t>Nilson Cesar Bertoli</t>
  </si>
  <si>
    <t>Total</t>
  </si>
  <si>
    <t>Pro-Labore + Reembolso Plano Saúde</t>
  </si>
  <si>
    <t xml:space="preserve">20% do GF2 </t>
  </si>
  <si>
    <t>20% do GF2 + Diárias</t>
  </si>
  <si>
    <t>Salário</t>
  </si>
  <si>
    <t>Salário + Gratificação + Adic Graduação + Adic de Responsabilidade</t>
  </si>
  <si>
    <t>Salário + Reembolso Plano Saúde</t>
  </si>
  <si>
    <t>Salário + Reembolso Pl. Saúde + Curso + Gratificação + Adic. Graduação e Responsabilidade</t>
  </si>
  <si>
    <t>Salário + Reembolso Plano de Saúde + Adic Graduação + Férias</t>
  </si>
  <si>
    <t>Salário + Gratificação</t>
  </si>
  <si>
    <t xml:space="preserve">Salário + Reembolso Plano de Saúde + Gratificação </t>
  </si>
  <si>
    <t>Salário + Reembolso Plano de Saúde + Gratificação</t>
  </si>
  <si>
    <t xml:space="preserve">Salário + Gratificação + Adic Graduação e Responsabilidade </t>
  </si>
  <si>
    <t>Salário + Gratificação + Adic Graduação</t>
  </si>
  <si>
    <t>Salário + Adic de Graduação</t>
  </si>
  <si>
    <t xml:space="preserve">Salário + Reembolso Plano de Saúde + Gratificação  </t>
  </si>
  <si>
    <t>Analice Gama Peixoto</t>
  </si>
  <si>
    <t>Kimberli Sartori dos Santos</t>
  </si>
  <si>
    <t>Salário + Gratificação+ Férias</t>
  </si>
  <si>
    <t>Salário + Reembolso Plano de Saúde + Gratificação + Férias + Abono Férias</t>
  </si>
  <si>
    <t>Salário + Curso</t>
  </si>
  <si>
    <t>Brenda Brittes Kobs</t>
  </si>
  <si>
    <t>Gabriel Francisco Passos</t>
  </si>
  <si>
    <t>Rescisão</t>
  </si>
  <si>
    <t>Fabiano Gonçalves Costa</t>
  </si>
  <si>
    <t>Assessor</t>
  </si>
  <si>
    <t>ATEC</t>
  </si>
  <si>
    <t>20% do GF2 + Diárias + Adic 1/3 Férias + 13 Salario</t>
  </si>
  <si>
    <t>Salário+Férias+Abono Férias</t>
  </si>
  <si>
    <t>Salário + Reembolso Plano Saúde + diária</t>
  </si>
  <si>
    <t>Salário + Reembolso Plano de Saúde + Gratificação + Férias</t>
  </si>
  <si>
    <t>Salário + Reembolso Plano de Saúde + diária</t>
  </si>
  <si>
    <t>Salário + Reembolso Plano de Saúde + Gratificação + Férias +Abono Férias</t>
  </si>
  <si>
    <t>Elisangela Pini</t>
  </si>
  <si>
    <t>Ettore Gustavo Claro da Cunha</t>
  </si>
  <si>
    <t>Bolsa + Auxílio Transporte (Admissão)</t>
  </si>
  <si>
    <t>Bolsa + Reccesso Remunerado (Rescisão)</t>
  </si>
  <si>
    <t>Coordenador</t>
  </si>
  <si>
    <t>Diretro</t>
  </si>
  <si>
    <t>Analista de Políticas de CT&amp;I - PL</t>
  </si>
  <si>
    <t>Analista de Políticas de CT&amp;I - SR</t>
  </si>
  <si>
    <t>G 13</t>
  </si>
  <si>
    <t>G 18</t>
  </si>
  <si>
    <t>G 11</t>
  </si>
  <si>
    <t>G 09</t>
  </si>
  <si>
    <t>G 16</t>
  </si>
  <si>
    <t>H 11</t>
  </si>
  <si>
    <t>H 16</t>
  </si>
  <si>
    <t>F 14</t>
  </si>
  <si>
    <t>F 12</t>
  </si>
  <si>
    <t>Procurador</t>
  </si>
  <si>
    <t>I 19</t>
  </si>
  <si>
    <t>I 13</t>
  </si>
  <si>
    <t>D 24</t>
  </si>
  <si>
    <t>Técnico de Tecnologia da Informação - PL</t>
  </si>
  <si>
    <t>Técnico de Políticas de CT&amp;I - PL</t>
  </si>
  <si>
    <t>C 34</t>
  </si>
  <si>
    <t>C 26</t>
  </si>
  <si>
    <t>C 28</t>
  </si>
  <si>
    <t>C 32</t>
  </si>
  <si>
    <t>E 06</t>
  </si>
  <si>
    <t>E 15</t>
  </si>
  <si>
    <t>C28</t>
  </si>
  <si>
    <t>Salário + Férias + Abono Férias</t>
  </si>
  <si>
    <t>Salário + Gratificação de Chefia - 04 e 05/25</t>
  </si>
  <si>
    <t xml:space="preserve">Salário + Gratificação </t>
  </si>
  <si>
    <t>Salário + Gratificação + Adic Graduação + Férias + Abono Férias</t>
  </si>
  <si>
    <t>Salário + Adic de graduação + Gratiicação de Chefia - 04 e 05/2025</t>
  </si>
  <si>
    <t>Salário + Reembolso Plano de Saúde + Gratificação de Chefia - 04 e 05/2025</t>
  </si>
  <si>
    <t>Salário + Reembolso Pl. Saúde + Curso + Adic Graduação + Gratificação de Chefia - 04 e 05/2025 + diária</t>
  </si>
  <si>
    <t>Salário + Gratificação Chefia - 04 e 05/2025</t>
  </si>
  <si>
    <t>Pedro Armando Gomes Picolli</t>
  </si>
  <si>
    <t>Salário + Diárias + Gratificação de Chefia 04 e 05/25</t>
  </si>
  <si>
    <t>Salário + Gratificação de Chefia 04 e 05/25</t>
  </si>
  <si>
    <t>Salário  + Gratificação 04 e 05/2025</t>
  </si>
  <si>
    <t>Salário + Adic Graduação + Gratificação de Chefia 04 e 05/2025</t>
  </si>
  <si>
    <t>Salário + Reembolso Plano de Saúde + Gratificação Chefia 04 e 05/2025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</si>
</sst>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;[Red]#,##0.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.5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i/>
      <sz val="1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name val="Calibri"/>
      <family val="2"/>
      <scheme val="minor"/>
    </font>
    <font>
      <i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i/>
      <sz val="12"/>
      <color theme="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43" fontId="1" fillId="0" borderId="0" applyFont="0" applyFill="0" applyBorder="0" applyAlignment="0" applyProtection="0"/>
  </cellStyleXfs>
  <cellXfs count="121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/>
    <xf numFmtId="0" fontId="4" fillId="2" borderId="0" xfId="0" applyFont="1" applyFill="1" applyAlignment="1">
      <alignment horizontal="left" vertical="center" wrapText="1"/>
    </xf>
    <xf numFmtId="0" fontId="4" fillId="2" borderId="0" xfId="0" applyFont="1" applyFill="1" applyAlignment="1">
      <alignment horizontal="right" vertical="center"/>
    </xf>
    <xf numFmtId="0" fontId="4" fillId="2" borderId="0" xfId="0" applyFont="1" applyFill="1" applyAlignment="1">
      <alignment horizontal="center"/>
    </xf>
    <xf numFmtId="0" fontId="0" fillId="2" borderId="2" xfId="0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0" fillId="2" borderId="4" xfId="0" applyFill="1" applyBorder="1"/>
    <xf numFmtId="0" fontId="0" fillId="2" borderId="5" xfId="0" applyFill="1" applyBorder="1" applyAlignment="1">
      <alignment horizontal="center" vertical="center"/>
    </xf>
    <xf numFmtId="0" fontId="0" fillId="2" borderId="6" xfId="0" applyFill="1" applyBorder="1"/>
    <xf numFmtId="0" fontId="0" fillId="2" borderId="5" xfId="0" applyFill="1" applyBorder="1"/>
    <xf numFmtId="0" fontId="3" fillId="2" borderId="5" xfId="0" applyFont="1" applyFill="1" applyBorder="1" applyAlignment="1">
      <alignment horizontal="center" vertical="center"/>
    </xf>
    <xf numFmtId="0" fontId="0" fillId="2" borderId="5" xfId="0" applyFill="1" applyBorder="1" applyAlignment="1">
      <alignment horizontal="left" vertical="center" wrapText="1"/>
    </xf>
    <xf numFmtId="0" fontId="0" fillId="2" borderId="5" xfId="0" applyFill="1" applyBorder="1" applyAlignment="1">
      <alignment horizontal="right" vertical="center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4" fontId="6" fillId="0" borderId="0" xfId="0" applyNumberFormat="1" applyFont="1" applyAlignment="1">
      <alignment horizontal="left" vertic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vertical="center"/>
    </xf>
    <xf numFmtId="4" fontId="5" fillId="0" borderId="0" xfId="0" applyNumberFormat="1" applyFont="1" applyAlignment="1">
      <alignment horizontal="left" vertical="center"/>
    </xf>
    <xf numFmtId="0" fontId="5" fillId="0" borderId="0" xfId="0" applyFont="1" applyAlignment="1">
      <alignment horizontal="center"/>
    </xf>
    <xf numFmtId="0" fontId="6" fillId="0" borderId="5" xfId="0" applyFont="1" applyBorder="1" applyAlignment="1">
      <alignment horizontal="left" vertical="center"/>
    </xf>
    <xf numFmtId="0" fontId="5" fillId="0" borderId="5" xfId="0" applyFont="1" applyBorder="1" applyAlignment="1">
      <alignment horizontal="left"/>
    </xf>
    <xf numFmtId="0" fontId="7" fillId="7" borderId="0" xfId="0" applyFont="1" applyFill="1" applyAlignment="1">
      <alignment horizontal="left" vertical="center"/>
    </xf>
    <xf numFmtId="0" fontId="8" fillId="7" borderId="0" xfId="0" applyFont="1" applyFill="1" applyAlignment="1">
      <alignment horizontal="center" vertical="center" wrapText="1"/>
    </xf>
    <xf numFmtId="49" fontId="8" fillId="7" borderId="0" xfId="0" applyNumberFormat="1" applyFont="1" applyFill="1" applyAlignment="1">
      <alignment horizontal="center" vertical="center"/>
    </xf>
    <xf numFmtId="0" fontId="8" fillId="7" borderId="0" xfId="0" applyFont="1" applyFill="1" applyAlignment="1">
      <alignment horizontal="center" vertical="center"/>
    </xf>
    <xf numFmtId="0" fontId="8" fillId="7" borderId="6" xfId="0" applyFont="1" applyFill="1" applyBorder="1" applyAlignment="1">
      <alignment horizontal="center" vertical="center" wrapText="1"/>
    </xf>
    <xf numFmtId="4" fontId="8" fillId="7" borderId="0" xfId="0" applyNumberFormat="1" applyFont="1" applyFill="1" applyAlignment="1">
      <alignment horizontal="center" vertical="center" wrapText="1"/>
    </xf>
    <xf numFmtId="49" fontId="8" fillId="7" borderId="5" xfId="0" applyNumberFormat="1" applyFont="1" applyFill="1" applyBorder="1" applyAlignment="1">
      <alignment horizontal="center" vertical="center"/>
    </xf>
    <xf numFmtId="0" fontId="9" fillId="7" borderId="0" xfId="0" applyFont="1" applyFill="1" applyAlignment="1">
      <alignment horizontal="center"/>
    </xf>
    <xf numFmtId="0" fontId="10" fillId="9" borderId="0" xfId="0" applyFont="1" applyFill="1" applyAlignment="1">
      <alignment horizontal="left" vertical="center"/>
    </xf>
    <xf numFmtId="1" fontId="10" fillId="9" borderId="0" xfId="2" applyNumberFormat="1" applyFont="1" applyFill="1" applyBorder="1" applyAlignment="1">
      <alignment horizontal="center" vertical="center"/>
    </xf>
    <xf numFmtId="0" fontId="10" fillId="9" borderId="0" xfId="0" applyFont="1" applyFill="1" applyAlignment="1">
      <alignment horizontal="center" vertical="center"/>
    </xf>
    <xf numFmtId="0" fontId="10" fillId="9" borderId="6" xfId="0" applyFont="1" applyFill="1" applyBorder="1" applyAlignment="1">
      <alignment horizontal="center" vertical="center"/>
    </xf>
    <xf numFmtId="4" fontId="10" fillId="9" borderId="0" xfId="2" applyNumberFormat="1" applyFont="1" applyFill="1" applyBorder="1" applyAlignment="1">
      <alignment horizontal="right" vertical="center"/>
    </xf>
    <xf numFmtId="49" fontId="11" fillId="9" borderId="5" xfId="0" applyNumberFormat="1" applyFont="1" applyFill="1" applyBorder="1" applyAlignment="1">
      <alignment vertical="center"/>
    </xf>
    <xf numFmtId="0" fontId="10" fillId="9" borderId="0" xfId="0" applyFont="1" applyFill="1"/>
    <xf numFmtId="0" fontId="10" fillId="8" borderId="0" xfId="0" applyFont="1" applyFill="1" applyAlignment="1">
      <alignment horizontal="left" vertical="center"/>
    </xf>
    <xf numFmtId="1" fontId="10" fillId="8" borderId="0" xfId="2" applyNumberFormat="1" applyFont="1" applyFill="1" applyBorder="1" applyAlignment="1">
      <alignment horizontal="center" vertical="center"/>
    </xf>
    <xf numFmtId="0" fontId="10" fillId="8" borderId="0" xfId="0" applyFont="1" applyFill="1" applyAlignment="1">
      <alignment horizontal="center" vertical="center"/>
    </xf>
    <xf numFmtId="0" fontId="10" fillId="8" borderId="6" xfId="0" applyFont="1" applyFill="1" applyBorder="1" applyAlignment="1">
      <alignment horizontal="center" vertical="center"/>
    </xf>
    <xf numFmtId="4" fontId="10" fillId="8" borderId="0" xfId="2" applyNumberFormat="1" applyFont="1" applyFill="1" applyBorder="1" applyAlignment="1">
      <alignment horizontal="right" vertical="center"/>
    </xf>
    <xf numFmtId="2" fontId="10" fillId="8" borderId="0" xfId="0" applyNumberFormat="1" applyFont="1" applyFill="1" applyAlignment="1">
      <alignment horizontal="right" wrapText="1"/>
    </xf>
    <xf numFmtId="49" fontId="11" fillId="8" borderId="5" xfId="0" applyNumberFormat="1" applyFont="1" applyFill="1" applyBorder="1" applyAlignment="1">
      <alignment vertical="center" wrapText="1"/>
    </xf>
    <xf numFmtId="0" fontId="10" fillId="8" borderId="0" xfId="0" applyFont="1" applyFill="1"/>
    <xf numFmtId="4" fontId="10" fillId="8" borderId="0" xfId="0" applyNumberFormat="1" applyFont="1" applyFill="1" applyAlignment="1">
      <alignment horizontal="left" vertical="center"/>
    </xf>
    <xf numFmtId="0" fontId="10" fillId="3" borderId="0" xfId="0" applyFont="1" applyFill="1" applyAlignment="1">
      <alignment horizontal="left" vertical="center"/>
    </xf>
    <xf numFmtId="1" fontId="10" fillId="3" borderId="0" xfId="2" applyNumberFormat="1" applyFont="1" applyFill="1" applyBorder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left" vertical="center"/>
    </xf>
    <xf numFmtId="0" fontId="10" fillId="3" borderId="6" xfId="0" applyFont="1" applyFill="1" applyBorder="1" applyAlignment="1">
      <alignment horizontal="center" vertical="center"/>
    </xf>
    <xf numFmtId="4" fontId="10" fillId="3" borderId="0" xfId="2" applyNumberFormat="1" applyFont="1" applyFill="1" applyBorder="1" applyAlignment="1">
      <alignment horizontal="right" vertical="center"/>
    </xf>
    <xf numFmtId="2" fontId="10" fillId="3" borderId="0" xfId="0" applyNumberFormat="1" applyFont="1" applyFill="1" applyAlignment="1">
      <alignment horizontal="right" wrapText="1"/>
    </xf>
    <xf numFmtId="49" fontId="11" fillId="3" borderId="5" xfId="0" applyNumberFormat="1" applyFont="1" applyFill="1" applyBorder="1" applyAlignment="1">
      <alignment vertical="center" wrapText="1"/>
    </xf>
    <xf numFmtId="0" fontId="10" fillId="3" borderId="0" xfId="0" applyFont="1" applyFill="1"/>
    <xf numFmtId="0" fontId="10" fillId="4" borderId="0" xfId="0" applyFont="1" applyFill="1" applyAlignment="1">
      <alignment horizontal="left" vertical="center"/>
    </xf>
    <xf numFmtId="1" fontId="10" fillId="4" borderId="0" xfId="2" applyNumberFormat="1" applyFont="1" applyFill="1" applyBorder="1" applyAlignment="1">
      <alignment horizontal="center" vertical="center"/>
    </xf>
    <xf numFmtId="0" fontId="10" fillId="4" borderId="0" xfId="0" applyFont="1" applyFill="1" applyAlignment="1">
      <alignment horizontal="center" vertical="center"/>
    </xf>
    <xf numFmtId="0" fontId="10" fillId="4" borderId="6" xfId="0" applyFont="1" applyFill="1" applyBorder="1" applyAlignment="1">
      <alignment horizontal="center" vertical="center"/>
    </xf>
    <xf numFmtId="4" fontId="10" fillId="4" borderId="0" xfId="0" applyNumberFormat="1" applyFont="1" applyFill="1" applyAlignment="1">
      <alignment horizontal="right" wrapText="1"/>
    </xf>
    <xf numFmtId="4" fontId="10" fillId="4" borderId="0" xfId="2" applyNumberFormat="1" applyFont="1" applyFill="1" applyBorder="1" applyAlignment="1">
      <alignment horizontal="right" vertical="center"/>
    </xf>
    <xf numFmtId="49" fontId="11" fillId="4" borderId="5" xfId="0" applyNumberFormat="1" applyFont="1" applyFill="1" applyBorder="1" applyAlignment="1">
      <alignment vertical="center" wrapText="1"/>
    </xf>
    <xf numFmtId="0" fontId="10" fillId="4" borderId="0" xfId="0" applyFont="1" applyFill="1"/>
    <xf numFmtId="4" fontId="10" fillId="4" borderId="0" xfId="0" quotePrefix="1" applyNumberFormat="1" applyFont="1" applyFill="1" applyAlignment="1">
      <alignment horizontal="right" wrapText="1"/>
    </xf>
    <xf numFmtId="0" fontId="12" fillId="4" borderId="0" xfId="0" applyFont="1" applyFill="1" applyAlignment="1">
      <alignment horizontal="left" vertical="center"/>
    </xf>
    <xf numFmtId="2" fontId="10" fillId="4" borderId="0" xfId="0" applyNumberFormat="1" applyFont="1" applyFill="1" applyAlignment="1">
      <alignment horizontal="right" wrapText="1"/>
    </xf>
    <xf numFmtId="0" fontId="10" fillId="4" borderId="0" xfId="0" applyFont="1" applyFill="1" applyAlignment="1">
      <alignment horizontal="right" wrapText="1"/>
    </xf>
    <xf numFmtId="0" fontId="10" fillId="5" borderId="0" xfId="0" applyFont="1" applyFill="1" applyAlignment="1">
      <alignment horizontal="left" vertical="center"/>
    </xf>
    <xf numFmtId="1" fontId="10" fillId="5" borderId="0" xfId="2" applyNumberFormat="1" applyFont="1" applyFill="1" applyBorder="1" applyAlignment="1">
      <alignment horizontal="center" vertical="center"/>
    </xf>
    <xf numFmtId="0" fontId="10" fillId="5" borderId="0" xfId="0" applyFont="1" applyFill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4" fontId="10" fillId="5" borderId="0" xfId="0" applyNumberFormat="1" applyFont="1" applyFill="1" applyAlignment="1">
      <alignment horizontal="right" wrapText="1"/>
    </xf>
    <xf numFmtId="4" fontId="10" fillId="5" borderId="0" xfId="2" applyNumberFormat="1" applyFont="1" applyFill="1" applyBorder="1" applyAlignment="1">
      <alignment horizontal="right" vertical="center"/>
    </xf>
    <xf numFmtId="49" fontId="11" fillId="5" borderId="5" xfId="0" applyNumberFormat="1" applyFont="1" applyFill="1" applyBorder="1" applyAlignment="1">
      <alignment vertical="center" wrapText="1"/>
    </xf>
    <xf numFmtId="0" fontId="10" fillId="5" borderId="0" xfId="0" applyFont="1" applyFill="1"/>
    <xf numFmtId="4" fontId="10" fillId="5" borderId="0" xfId="0" applyNumberFormat="1" applyFont="1" applyFill="1" applyAlignment="1">
      <alignment horizontal="right" vertical="center" wrapText="1"/>
    </xf>
    <xf numFmtId="4" fontId="10" fillId="5" borderId="0" xfId="0" applyNumberFormat="1" applyFont="1" applyFill="1" applyAlignment="1">
      <alignment horizontal="right" vertical="center"/>
    </xf>
    <xf numFmtId="0" fontId="10" fillId="6" borderId="0" xfId="0" applyFont="1" applyFill="1" applyAlignment="1">
      <alignment horizontal="left" vertical="center"/>
    </xf>
    <xf numFmtId="1" fontId="10" fillId="6" borderId="0" xfId="2" applyNumberFormat="1" applyFont="1" applyFill="1" applyBorder="1" applyAlignment="1">
      <alignment horizontal="center" vertical="center"/>
    </xf>
    <xf numFmtId="0" fontId="10" fillId="6" borderId="0" xfId="0" applyFont="1" applyFill="1" applyAlignment="1">
      <alignment horizontal="center" vertical="center"/>
    </xf>
    <xf numFmtId="0" fontId="10" fillId="6" borderId="6" xfId="0" applyFont="1" applyFill="1" applyBorder="1" applyAlignment="1">
      <alignment horizontal="center" vertical="center"/>
    </xf>
    <xf numFmtId="4" fontId="10" fillId="6" borderId="0" xfId="0" applyNumberFormat="1" applyFont="1" applyFill="1" applyAlignment="1">
      <alignment horizontal="right" vertical="center"/>
    </xf>
    <xf numFmtId="4" fontId="10" fillId="6" borderId="0" xfId="2" applyNumberFormat="1" applyFont="1" applyFill="1" applyBorder="1" applyAlignment="1">
      <alignment horizontal="right" vertical="center"/>
    </xf>
    <xf numFmtId="0" fontId="11" fillId="6" borderId="5" xfId="0" applyFont="1" applyFill="1" applyBorder="1" applyAlignment="1">
      <alignment vertical="center"/>
    </xf>
    <xf numFmtId="0" fontId="10" fillId="6" borderId="0" xfId="0" applyFont="1" applyFill="1"/>
    <xf numFmtId="49" fontId="11" fillId="6" borderId="5" xfId="0" applyNumberFormat="1" applyFont="1" applyFill="1" applyBorder="1" applyAlignment="1">
      <alignment vertical="center"/>
    </xf>
    <xf numFmtId="0" fontId="13" fillId="7" borderId="0" xfId="0" applyFont="1" applyFill="1" applyAlignment="1">
      <alignment horizontal="left" vertical="center"/>
    </xf>
    <xf numFmtId="0" fontId="13" fillId="7" borderId="0" xfId="0" applyFont="1" applyFill="1" applyAlignment="1">
      <alignment horizontal="center" vertical="center"/>
    </xf>
    <xf numFmtId="0" fontId="13" fillId="7" borderId="6" xfId="0" applyFont="1" applyFill="1" applyBorder="1" applyAlignment="1">
      <alignment horizontal="center" vertical="center"/>
    </xf>
    <xf numFmtId="4" fontId="13" fillId="7" borderId="0" xfId="2" applyNumberFormat="1" applyFont="1" applyFill="1" applyBorder="1" applyAlignment="1">
      <alignment horizontal="right" vertical="center"/>
    </xf>
    <xf numFmtId="0" fontId="14" fillId="7" borderId="5" xfId="0" applyFont="1" applyFill="1" applyBorder="1" applyAlignment="1">
      <alignment vertical="center"/>
    </xf>
    <xf numFmtId="0" fontId="13" fillId="7" borderId="0" xfId="0" applyFont="1" applyFill="1"/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0" xfId="0" applyFont="1" applyAlignment="1">
      <alignment horizontal="right" vertical="center"/>
    </xf>
    <xf numFmtId="4" fontId="10" fillId="0" borderId="0" xfId="0" applyNumberFormat="1" applyFont="1" applyAlignment="1">
      <alignment horizontal="right" vertical="center"/>
    </xf>
    <xf numFmtId="4" fontId="10" fillId="0" borderId="0" xfId="2" applyNumberFormat="1" applyFont="1" applyFill="1" applyBorder="1" applyAlignment="1">
      <alignment horizontal="right" vertical="center"/>
    </xf>
    <xf numFmtId="0" fontId="11" fillId="0" borderId="5" xfId="0" applyFont="1" applyBorder="1" applyAlignment="1">
      <alignment vertical="center"/>
    </xf>
    <xf numFmtId="0" fontId="10" fillId="0" borderId="0" xfId="0" applyFont="1"/>
    <xf numFmtId="2" fontId="10" fillId="4" borderId="0" xfId="0" applyNumberFormat="1" applyFont="1" applyFill="1"/>
    <xf numFmtId="4" fontId="10" fillId="9" borderId="0" xfId="0" applyNumberFormat="1" applyFont="1" applyFill="1"/>
    <xf numFmtId="0" fontId="11" fillId="6" borderId="0" xfId="0" applyFont="1" applyFill="1" applyAlignment="1">
      <alignment vertical="center"/>
    </xf>
    <xf numFmtId="4" fontId="10" fillId="8" borderId="0" xfId="0" applyNumberFormat="1" applyFont="1" applyFill="1" applyAlignment="1">
      <alignment horizontal="right" wrapText="1"/>
    </xf>
    <xf numFmtId="4" fontId="10" fillId="3" borderId="0" xfId="0" applyNumberFormat="1" applyFont="1" applyFill="1" applyAlignment="1">
      <alignment horizontal="right" wrapText="1"/>
    </xf>
    <xf numFmtId="164" fontId="8" fillId="7" borderId="0" xfId="0" applyNumberFormat="1" applyFont="1" applyFill="1" applyAlignment="1">
      <alignment horizontal="center" vertical="center" wrapText="1"/>
    </xf>
    <xf numFmtId="164" fontId="13" fillId="7" borderId="0" xfId="2" applyNumberFormat="1" applyFont="1" applyFill="1" applyBorder="1" applyAlignment="1">
      <alignment horizontal="right" vertical="center"/>
    </xf>
    <xf numFmtId="164" fontId="10" fillId="0" borderId="0" xfId="2" applyNumberFormat="1" applyFont="1" applyFill="1" applyBorder="1" applyAlignment="1">
      <alignment horizontal="right" vertical="center"/>
    </xf>
    <xf numFmtId="164" fontId="10" fillId="0" borderId="0" xfId="0" applyNumberFormat="1" applyFont="1" applyAlignment="1">
      <alignment horizontal="right" vertical="center"/>
    </xf>
    <xf numFmtId="0" fontId="10" fillId="4" borderId="0" xfId="0" applyFont="1" applyFill="1" applyBorder="1" applyAlignment="1">
      <alignment horizontal="center" vertical="center"/>
    </xf>
    <xf numFmtId="4" fontId="10" fillId="4" borderId="0" xfId="0" applyNumberFormat="1" applyFont="1" applyFill="1" applyBorder="1"/>
    <xf numFmtId="4" fontId="12" fillId="4" borderId="0" xfId="0" applyNumberFormat="1" applyFont="1" applyFill="1" applyBorder="1"/>
  </cellXfs>
  <cellStyles count="3">
    <cellStyle name="Normal" xfId="0" builtinId="0"/>
    <cellStyle name="Normal 2" xfId="1" xr:uid="{5C4B000F-BB2A-4936-A9EA-7BA15829EEB6}"/>
    <cellStyle name="Vírgula 2" xfId="2" xr:uid="{28E0A2EF-C84B-4D65-9FE1-2279B154219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1628775</xdr:colOff>
      <xdr:row>0</xdr:row>
      <xdr:rowOff>123825</xdr:rowOff>
    </xdr:from>
    <xdr:to>
      <xdr:col>1</xdr:col>
      <xdr:colOff>2647950</xdr:colOff>
      <xdr:row>1</xdr:row>
      <xdr:rowOff>9525</xdr:rowOff>
    </xdr:to>
    <xdr:pic>
      <xdr:nvPicPr>
        <xdr:cNvPr id="53280" name="Imagem 2">
          <a:extLst>
            <a:ext uri="{FF2B5EF4-FFF2-40B4-BE49-F238E27FC236}">
              <a16:creationId xmlns:a16="http://schemas.microsoft.com/office/drawing/2014/main" id="{9AF16C6D-2E26-53A6-2777-F705AA4216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90725" y="123825"/>
          <a:ext cx="1019175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153529-529E-41CC-9271-C57B02A9A0B2}">
  <dimension ref="A1:C15"/>
  <sheetViews>
    <sheetView zoomScaleNormal="100" zoomScaleSheetLayoutView="115" workbookViewId="0">
      <selection activeCell="B5" sqref="B5"/>
    </sheetView>
  </sheetViews>
  <sheetFormatPr defaultRowHeight="15" x14ac:dyDescent="0.25"/>
  <cols>
    <col min="1" max="1" width="5.42578125" customWidth="1"/>
    <col min="2" max="2" width="63.5703125" customWidth="1"/>
    <col min="3" max="3" width="5.7109375" customWidth="1"/>
  </cols>
  <sheetData>
    <row r="1" spans="1:3" ht="63.2" customHeight="1" x14ac:dyDescent="0.25">
      <c r="A1" s="9"/>
      <c r="B1" s="10"/>
      <c r="C1" s="11"/>
    </row>
    <row r="2" spans="1:3" x14ac:dyDescent="0.25">
      <c r="A2" s="12"/>
      <c r="B2" s="5"/>
      <c r="C2" s="13"/>
    </row>
    <row r="3" spans="1:3" x14ac:dyDescent="0.25">
      <c r="A3" s="12"/>
      <c r="B3" s="4" t="s">
        <v>0</v>
      </c>
      <c r="C3" s="13"/>
    </row>
    <row r="4" spans="1:3" x14ac:dyDescent="0.25">
      <c r="A4" s="14"/>
      <c r="B4" s="5"/>
      <c r="C4" s="13"/>
    </row>
    <row r="5" spans="1:3" ht="18.75" x14ac:dyDescent="0.25">
      <c r="A5" s="15"/>
      <c r="B5" s="3" t="s">
        <v>1</v>
      </c>
      <c r="C5" s="13"/>
    </row>
    <row r="6" spans="1:3" x14ac:dyDescent="0.25">
      <c r="A6" s="12"/>
      <c r="B6" s="4"/>
      <c r="C6" s="13"/>
    </row>
    <row r="7" spans="1:3" ht="185.25" x14ac:dyDescent="0.25">
      <c r="A7" s="16"/>
      <c r="B7" s="6" t="s">
        <v>2</v>
      </c>
      <c r="C7" s="13"/>
    </row>
    <row r="8" spans="1:3" x14ac:dyDescent="0.25">
      <c r="A8" s="14"/>
      <c r="B8" s="5"/>
      <c r="C8" s="13"/>
    </row>
    <row r="9" spans="1:3" x14ac:dyDescent="0.25">
      <c r="A9" s="17"/>
      <c r="B9" s="7" t="s">
        <v>3</v>
      </c>
      <c r="C9" s="13"/>
    </row>
    <row r="10" spans="1:3" ht="45.2" customHeight="1" x14ac:dyDescent="0.25">
      <c r="A10" s="18"/>
      <c r="B10" s="8" t="s">
        <v>4</v>
      </c>
      <c r="C10" s="13"/>
    </row>
    <row r="11" spans="1:3" x14ac:dyDescent="0.25">
      <c r="A11" s="12"/>
      <c r="B11" s="4" t="s">
        <v>5</v>
      </c>
      <c r="C11" s="13"/>
    </row>
    <row r="12" spans="1:3" s="1" customFormat="1" x14ac:dyDescent="0.25">
      <c r="A12" s="18"/>
      <c r="B12" s="8"/>
      <c r="C12" s="19"/>
    </row>
    <row r="13" spans="1:3" ht="28.5" customHeight="1" x14ac:dyDescent="0.25">
      <c r="A13" s="18"/>
      <c r="B13" s="8" t="s">
        <v>4</v>
      </c>
      <c r="C13" s="13"/>
    </row>
    <row r="14" spans="1:3" x14ac:dyDescent="0.25">
      <c r="A14" s="18"/>
      <c r="B14" s="8" t="s">
        <v>6</v>
      </c>
      <c r="C14" s="13"/>
    </row>
    <row r="15" spans="1:3" x14ac:dyDescent="0.25">
      <c r="A15" s="20"/>
      <c r="B15" s="2"/>
      <c r="C15" s="21"/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8A4586-6ACE-44A9-B64E-350D839959D6}">
  <dimension ref="A1:E40"/>
  <sheetViews>
    <sheetView zoomScale="107" zoomScaleNormal="107" workbookViewId="0">
      <selection activeCell="B1" sqref="B1"/>
    </sheetView>
  </sheetViews>
  <sheetFormatPr defaultColWidth="9" defaultRowHeight="12.75" x14ac:dyDescent="0.2"/>
  <cols>
    <col min="1" max="1" width="7.5703125" style="22" bestFit="1" customWidth="1"/>
    <col min="2" max="2" width="106.7109375" style="25" bestFit="1" customWidth="1"/>
    <col min="3" max="16384" width="9" style="25"/>
  </cols>
  <sheetData>
    <row r="1" spans="1:5" x14ac:dyDescent="0.2">
      <c r="B1" s="31" t="s">
        <v>7</v>
      </c>
    </row>
    <row r="2" spans="1:5" x14ac:dyDescent="0.2">
      <c r="A2" s="28" t="s">
        <v>8</v>
      </c>
      <c r="B2" s="29" t="s">
        <v>9</v>
      </c>
    </row>
    <row r="3" spans="1:5" x14ac:dyDescent="0.2">
      <c r="A3" s="22" t="s">
        <v>10</v>
      </c>
      <c r="B3" s="30" t="s">
        <v>11</v>
      </c>
    </row>
    <row r="4" spans="1:5" x14ac:dyDescent="0.2">
      <c r="A4" s="28" t="s">
        <v>12</v>
      </c>
      <c r="B4" s="30" t="s">
        <v>13</v>
      </c>
    </row>
    <row r="5" spans="1:5" x14ac:dyDescent="0.2">
      <c r="A5" s="22" t="s">
        <v>14</v>
      </c>
      <c r="B5" s="30" t="s">
        <v>15</v>
      </c>
    </row>
    <row r="6" spans="1:5" x14ac:dyDescent="0.2">
      <c r="A6" s="22" t="s">
        <v>16</v>
      </c>
      <c r="B6" s="30" t="s">
        <v>17</v>
      </c>
    </row>
    <row r="7" spans="1:5" x14ac:dyDescent="0.2">
      <c r="A7" s="28" t="s">
        <v>18</v>
      </c>
      <c r="B7" s="29" t="s">
        <v>19</v>
      </c>
    </row>
    <row r="8" spans="1:5" x14ac:dyDescent="0.2">
      <c r="A8" s="22" t="s">
        <v>20</v>
      </c>
      <c r="B8" s="30" t="s">
        <v>21</v>
      </c>
    </row>
    <row r="9" spans="1:5" x14ac:dyDescent="0.2">
      <c r="A9" s="22" t="s">
        <v>22</v>
      </c>
      <c r="B9" s="30" t="s">
        <v>23</v>
      </c>
    </row>
    <row r="10" spans="1:5" x14ac:dyDescent="0.2">
      <c r="A10" s="22" t="s">
        <v>24</v>
      </c>
      <c r="B10" s="30" t="s">
        <v>25</v>
      </c>
      <c r="E10" s="23"/>
    </row>
    <row r="11" spans="1:5" x14ac:dyDescent="0.2">
      <c r="A11" s="22" t="s">
        <v>26</v>
      </c>
      <c r="B11" s="30" t="s">
        <v>27</v>
      </c>
      <c r="E11" s="24"/>
    </row>
    <row r="12" spans="1:5" x14ac:dyDescent="0.2">
      <c r="A12" s="22" t="s">
        <v>28</v>
      </c>
      <c r="B12" s="30" t="s">
        <v>29</v>
      </c>
      <c r="E12" s="23"/>
    </row>
    <row r="13" spans="1:5" x14ac:dyDescent="0.2">
      <c r="A13" s="22" t="s">
        <v>30</v>
      </c>
      <c r="B13" s="30" t="s">
        <v>31</v>
      </c>
    </row>
    <row r="14" spans="1:5" x14ac:dyDescent="0.2">
      <c r="A14" s="22" t="s">
        <v>32</v>
      </c>
      <c r="B14" s="30" t="s">
        <v>33</v>
      </c>
      <c r="D14" s="26"/>
      <c r="E14" s="26"/>
    </row>
    <row r="15" spans="1:5" x14ac:dyDescent="0.2">
      <c r="A15" s="22" t="s">
        <v>34</v>
      </c>
      <c r="B15" s="30" t="s">
        <v>35</v>
      </c>
      <c r="D15" s="26"/>
      <c r="E15" s="26"/>
    </row>
    <row r="16" spans="1:5" x14ac:dyDescent="0.2">
      <c r="A16" s="22" t="s">
        <v>36</v>
      </c>
      <c r="B16" s="30" t="s">
        <v>37</v>
      </c>
      <c r="D16" s="26"/>
      <c r="E16" s="27"/>
    </row>
    <row r="17" spans="1:5" x14ac:dyDescent="0.2">
      <c r="A17" s="22" t="s">
        <v>38</v>
      </c>
      <c r="B17" s="30" t="s">
        <v>39</v>
      </c>
      <c r="D17" s="26"/>
      <c r="E17" s="27"/>
    </row>
    <row r="18" spans="1:5" x14ac:dyDescent="0.2">
      <c r="A18" s="22" t="s">
        <v>40</v>
      </c>
      <c r="B18" s="30" t="s">
        <v>41</v>
      </c>
      <c r="D18" s="26"/>
      <c r="E18" s="26"/>
    </row>
    <row r="19" spans="1:5" x14ac:dyDescent="0.2">
      <c r="A19" s="22" t="s">
        <v>42</v>
      </c>
      <c r="B19" s="30" t="s">
        <v>43</v>
      </c>
      <c r="D19" s="26"/>
      <c r="E19" s="26"/>
    </row>
    <row r="20" spans="1:5" x14ac:dyDescent="0.2">
      <c r="A20" s="22" t="s">
        <v>44</v>
      </c>
      <c r="B20" s="30" t="s">
        <v>45</v>
      </c>
      <c r="D20" s="26"/>
      <c r="E20" s="26"/>
    </row>
    <row r="21" spans="1:5" x14ac:dyDescent="0.2">
      <c r="A21" s="22" t="s">
        <v>46</v>
      </c>
      <c r="B21" s="30" t="s">
        <v>47</v>
      </c>
    </row>
    <row r="22" spans="1:5" x14ac:dyDescent="0.2">
      <c r="A22" s="22" t="s">
        <v>48</v>
      </c>
      <c r="B22" s="30" t="s">
        <v>49</v>
      </c>
    </row>
    <row r="24" spans="1:5" x14ac:dyDescent="0.2">
      <c r="B24" s="31" t="s">
        <v>50</v>
      </c>
    </row>
    <row r="25" spans="1:5" x14ac:dyDescent="0.2">
      <c r="A25" s="22" t="s">
        <v>51</v>
      </c>
      <c r="B25" s="30" t="s">
        <v>52</v>
      </c>
    </row>
    <row r="26" spans="1:5" x14ac:dyDescent="0.2">
      <c r="A26" s="22" t="s">
        <v>53</v>
      </c>
      <c r="B26" s="30" t="s">
        <v>54</v>
      </c>
    </row>
    <row r="27" spans="1:5" x14ac:dyDescent="0.2">
      <c r="A27" s="22" t="s">
        <v>55</v>
      </c>
      <c r="B27" s="30" t="s">
        <v>56</v>
      </c>
    </row>
    <row r="28" spans="1:5" x14ac:dyDescent="0.2">
      <c r="A28" s="22" t="s">
        <v>57</v>
      </c>
      <c r="B28" s="30" t="s">
        <v>58</v>
      </c>
    </row>
    <row r="29" spans="1:5" x14ac:dyDescent="0.2">
      <c r="A29" s="22" t="s">
        <v>59</v>
      </c>
      <c r="B29" s="30" t="s">
        <v>60</v>
      </c>
    </row>
    <row r="31" spans="1:5" x14ac:dyDescent="0.2">
      <c r="B31" s="31" t="s">
        <v>61</v>
      </c>
    </row>
    <row r="32" spans="1:5" x14ac:dyDescent="0.2">
      <c r="A32" s="22" t="s">
        <v>62</v>
      </c>
      <c r="B32" s="30" t="s">
        <v>63</v>
      </c>
    </row>
    <row r="33" spans="1:2" x14ac:dyDescent="0.2">
      <c r="A33" s="22" t="s">
        <v>64</v>
      </c>
      <c r="B33" s="30" t="s">
        <v>65</v>
      </c>
    </row>
    <row r="35" spans="1:2" x14ac:dyDescent="0.2">
      <c r="B35" s="31" t="s">
        <v>66</v>
      </c>
    </row>
    <row r="36" spans="1:2" x14ac:dyDescent="0.2">
      <c r="A36" s="22" t="s">
        <v>67</v>
      </c>
      <c r="B36" s="30" t="s">
        <v>68</v>
      </c>
    </row>
    <row r="37" spans="1:2" x14ac:dyDescent="0.2">
      <c r="A37" s="22" t="s">
        <v>69</v>
      </c>
      <c r="B37" s="30" t="s">
        <v>70</v>
      </c>
    </row>
    <row r="38" spans="1:2" x14ac:dyDescent="0.2">
      <c r="A38" s="22" t="s">
        <v>71</v>
      </c>
      <c r="B38" s="30" t="s">
        <v>72</v>
      </c>
    </row>
    <row r="39" spans="1:2" x14ac:dyDescent="0.2">
      <c r="A39" s="22" t="s">
        <v>73</v>
      </c>
      <c r="B39" s="30" t="s">
        <v>74</v>
      </c>
    </row>
    <row r="40" spans="1:2" x14ac:dyDescent="0.2">
      <c r="A40" s="22" t="s">
        <v>75</v>
      </c>
      <c r="B40" s="30" t="s">
        <v>76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064140-040D-4F65-887A-D65371FCFCDC}">
  <dimension ref="A1:O65"/>
  <sheetViews>
    <sheetView topLeftCell="A51" zoomScaleNormal="100" workbookViewId="0">
      <selection activeCell="A52" sqref="A52:XFD52"/>
    </sheetView>
  </sheetViews>
  <sheetFormatPr defaultColWidth="8.7109375" defaultRowHeight="15.75" x14ac:dyDescent="0.25"/>
  <cols>
    <col min="1" max="1" width="33.42578125" style="101" customWidth="1"/>
    <col min="2" max="2" width="6.5703125" style="102" customWidth="1"/>
    <col min="3" max="3" width="7.85546875" style="102" customWidth="1"/>
    <col min="4" max="4" width="11.7109375" style="101" bestFit="1" customWidth="1"/>
    <col min="5" max="5" width="15.5703125" style="101" bestFit="1" customWidth="1"/>
    <col min="6" max="6" width="7.28515625" style="101" customWidth="1"/>
    <col min="7" max="7" width="11.28515625" style="103" customWidth="1"/>
    <col min="8" max="11" width="16.7109375" style="104" customWidth="1"/>
    <col min="12" max="12" width="97.28515625" style="107" customWidth="1"/>
    <col min="13" max="14" width="8.7109375" style="108"/>
    <col min="15" max="15" width="11.5703125" style="108" bestFit="1" customWidth="1"/>
    <col min="16" max="16384" width="8.7109375" style="108"/>
  </cols>
  <sheetData>
    <row r="1" spans="1:15" s="38" customFormat="1" ht="25.5" customHeight="1" x14ac:dyDescent="0.25">
      <c r="A1" s="32" t="s">
        <v>77</v>
      </c>
      <c r="B1" s="33" t="s">
        <v>78</v>
      </c>
      <c r="C1" s="32" t="s">
        <v>79</v>
      </c>
      <c r="D1" s="34" t="s">
        <v>80</v>
      </c>
      <c r="E1" s="34" t="s">
        <v>81</v>
      </c>
      <c r="F1" s="34" t="s">
        <v>82</v>
      </c>
      <c r="G1" s="35" t="s">
        <v>83</v>
      </c>
      <c r="H1" s="36" t="s">
        <v>84</v>
      </c>
      <c r="I1" s="36" t="s">
        <v>85</v>
      </c>
      <c r="J1" s="36" t="s">
        <v>86</v>
      </c>
      <c r="K1" s="36" t="s">
        <v>87</v>
      </c>
      <c r="L1" s="37" t="s">
        <v>88</v>
      </c>
    </row>
    <row r="2" spans="1:15" s="45" customFormat="1" x14ac:dyDescent="0.25">
      <c r="A2" s="39" t="s">
        <v>89</v>
      </c>
      <c r="B2" s="40" t="s">
        <v>90</v>
      </c>
      <c r="C2" s="41" t="s">
        <v>91</v>
      </c>
      <c r="D2" s="39" t="s">
        <v>92</v>
      </c>
      <c r="E2" s="39" t="s">
        <v>93</v>
      </c>
      <c r="F2" s="39" t="s">
        <v>94</v>
      </c>
      <c r="G2" s="42"/>
      <c r="H2" s="43">
        <v>34993.339999999997</v>
      </c>
      <c r="I2" s="43">
        <f>38167.36+24481.8</f>
        <v>62649.16</v>
      </c>
      <c r="J2" s="43">
        <v>9388.34</v>
      </c>
      <c r="K2" s="43">
        <f t="shared" ref="K2:K33" si="0">I2-J2</f>
        <v>53260.820000000007</v>
      </c>
      <c r="L2" s="44" t="s">
        <v>95</v>
      </c>
    </row>
    <row r="3" spans="1:15" s="45" customFormat="1" x14ac:dyDescent="0.25">
      <c r="A3" s="39" t="s">
        <v>96</v>
      </c>
      <c r="B3" s="40" t="s">
        <v>97</v>
      </c>
      <c r="C3" s="41" t="s">
        <v>98</v>
      </c>
      <c r="D3" s="39" t="s">
        <v>92</v>
      </c>
      <c r="E3" s="39" t="s">
        <v>99</v>
      </c>
      <c r="F3" s="39" t="s">
        <v>22</v>
      </c>
      <c r="G3" s="42"/>
      <c r="H3" s="43">
        <v>32908.57</v>
      </c>
      <c r="I3" s="43">
        <f>35504.81+20809.53</f>
        <v>56314.34</v>
      </c>
      <c r="J3" s="43">
        <v>8752.27</v>
      </c>
      <c r="K3" s="43">
        <f t="shared" si="0"/>
        <v>47562.069999999992</v>
      </c>
      <c r="L3" s="44" t="s">
        <v>100</v>
      </c>
    </row>
    <row r="4" spans="1:15" s="45" customFormat="1" x14ac:dyDescent="0.25">
      <c r="A4" s="39" t="s">
        <v>101</v>
      </c>
      <c r="B4" s="40" t="s">
        <v>102</v>
      </c>
      <c r="C4" s="41" t="s">
        <v>98</v>
      </c>
      <c r="D4" s="39" t="s">
        <v>92</v>
      </c>
      <c r="E4" s="39" t="s">
        <v>99</v>
      </c>
      <c r="F4" s="39" t="s">
        <v>24</v>
      </c>
      <c r="G4" s="42"/>
      <c r="H4" s="43">
        <v>32908.57</v>
      </c>
      <c r="I4" s="110">
        <f>32908.61</f>
        <v>32908.61</v>
      </c>
      <c r="J4" s="43">
        <v>8815.0300000000007</v>
      </c>
      <c r="K4" s="43">
        <f t="shared" si="0"/>
        <v>24093.58</v>
      </c>
      <c r="L4" s="44" t="s">
        <v>103</v>
      </c>
    </row>
    <row r="5" spans="1:15" s="53" customFormat="1" x14ac:dyDescent="0.25">
      <c r="A5" s="46" t="s">
        <v>104</v>
      </c>
      <c r="B5" s="47">
        <v>95</v>
      </c>
      <c r="C5" s="48" t="s">
        <v>105</v>
      </c>
      <c r="D5" s="46" t="s">
        <v>92</v>
      </c>
      <c r="E5" s="46" t="s">
        <v>106</v>
      </c>
      <c r="F5" s="46" t="s">
        <v>28</v>
      </c>
      <c r="G5" s="49"/>
      <c r="H5" s="50">
        <v>5208.1400000000003</v>
      </c>
      <c r="I5" s="112">
        <v>5208.1400000000003</v>
      </c>
      <c r="J5" s="51">
        <v>381.98</v>
      </c>
      <c r="K5" s="50">
        <f t="shared" si="0"/>
        <v>4826.16</v>
      </c>
      <c r="L5" s="52" t="s">
        <v>107</v>
      </c>
    </row>
    <row r="6" spans="1:15" s="53" customFormat="1" x14ac:dyDescent="0.25">
      <c r="A6" s="46" t="s">
        <v>108</v>
      </c>
      <c r="B6" s="47" t="s">
        <v>109</v>
      </c>
      <c r="C6" s="48" t="s">
        <v>105</v>
      </c>
      <c r="D6" s="46" t="s">
        <v>92</v>
      </c>
      <c r="E6" s="54" t="s">
        <v>106</v>
      </c>
      <c r="F6" s="46" t="s">
        <v>26</v>
      </c>
      <c r="G6" s="49"/>
      <c r="H6" s="50">
        <v>5208.1400000000003</v>
      </c>
      <c r="I6" s="112">
        <v>5208.18</v>
      </c>
      <c r="J6" s="51">
        <v>392.6</v>
      </c>
      <c r="K6" s="50">
        <f t="shared" si="0"/>
        <v>4815.58</v>
      </c>
      <c r="L6" s="52" t="s">
        <v>107</v>
      </c>
    </row>
    <row r="7" spans="1:15" s="63" customFormat="1" x14ac:dyDescent="0.25">
      <c r="A7" s="55" t="s">
        <v>110</v>
      </c>
      <c r="B7" s="56">
        <v>92</v>
      </c>
      <c r="C7" s="57"/>
      <c r="D7" s="55"/>
      <c r="E7" s="58" t="s">
        <v>111</v>
      </c>
      <c r="F7" s="58" t="s">
        <v>20</v>
      </c>
      <c r="G7" s="59" t="s">
        <v>112</v>
      </c>
      <c r="H7" s="60">
        <v>0</v>
      </c>
      <c r="I7" s="113">
        <v>0</v>
      </c>
      <c r="J7" s="61">
        <v>0</v>
      </c>
      <c r="K7" s="60">
        <f t="shared" si="0"/>
        <v>0</v>
      </c>
      <c r="L7" s="62"/>
    </row>
    <row r="8" spans="1:15" s="63" customFormat="1" x14ac:dyDescent="0.25">
      <c r="A8" s="55" t="s">
        <v>113</v>
      </c>
      <c r="B8" s="56">
        <v>93</v>
      </c>
      <c r="C8" s="57"/>
      <c r="D8" s="55"/>
      <c r="E8" s="58" t="s">
        <v>111</v>
      </c>
      <c r="F8" s="58" t="s">
        <v>12</v>
      </c>
      <c r="G8" s="59"/>
      <c r="H8" s="60">
        <v>0</v>
      </c>
      <c r="I8" s="113">
        <v>0</v>
      </c>
      <c r="J8" s="61">
        <v>0</v>
      </c>
      <c r="K8" s="60">
        <f t="shared" si="0"/>
        <v>0</v>
      </c>
      <c r="L8" s="62"/>
    </row>
    <row r="9" spans="1:15" s="63" customFormat="1" x14ac:dyDescent="0.25">
      <c r="A9" s="55" t="s">
        <v>114</v>
      </c>
      <c r="B9" s="56">
        <v>90</v>
      </c>
      <c r="C9" s="57"/>
      <c r="D9" s="55"/>
      <c r="E9" s="58" t="s">
        <v>111</v>
      </c>
      <c r="F9" s="58" t="s">
        <v>14</v>
      </c>
      <c r="G9" s="59" t="s">
        <v>112</v>
      </c>
      <c r="H9" s="60">
        <v>0</v>
      </c>
      <c r="I9" s="113">
        <v>12240.9</v>
      </c>
      <c r="J9" s="61">
        <v>0</v>
      </c>
      <c r="K9" s="60">
        <f t="shared" si="0"/>
        <v>12240.9</v>
      </c>
      <c r="L9" s="62" t="s">
        <v>115</v>
      </c>
    </row>
    <row r="10" spans="1:15" s="63" customFormat="1" x14ac:dyDescent="0.25">
      <c r="A10" s="55" t="s">
        <v>116</v>
      </c>
      <c r="B10" s="56">
        <v>91</v>
      </c>
      <c r="C10" s="57"/>
      <c r="D10" s="55"/>
      <c r="E10" s="58" t="s">
        <v>111</v>
      </c>
      <c r="F10" s="58" t="s">
        <v>18</v>
      </c>
      <c r="G10" s="59" t="s">
        <v>117</v>
      </c>
      <c r="H10" s="60">
        <v>0</v>
      </c>
      <c r="I10" s="60">
        <v>0</v>
      </c>
      <c r="J10" s="60">
        <v>0</v>
      </c>
      <c r="K10" s="60">
        <f t="shared" si="0"/>
        <v>0</v>
      </c>
    </row>
    <row r="11" spans="1:15" s="63" customFormat="1" x14ac:dyDescent="0.25">
      <c r="A11" s="55" t="s">
        <v>118</v>
      </c>
      <c r="B11" s="56">
        <v>94</v>
      </c>
      <c r="C11" s="57"/>
      <c r="D11" s="55"/>
      <c r="E11" s="58" t="s">
        <v>111</v>
      </c>
      <c r="F11" s="58" t="s">
        <v>16</v>
      </c>
      <c r="G11" s="59"/>
      <c r="H11" s="60">
        <v>0</v>
      </c>
      <c r="I11" s="60">
        <v>0</v>
      </c>
      <c r="J11" s="60">
        <v>0</v>
      </c>
      <c r="K11" s="60">
        <f t="shared" si="0"/>
        <v>0</v>
      </c>
      <c r="L11" s="62"/>
    </row>
    <row r="12" spans="1:15" s="71" customFormat="1" x14ac:dyDescent="0.25">
      <c r="A12" s="64" t="s">
        <v>119</v>
      </c>
      <c r="B12" s="65">
        <v>88</v>
      </c>
      <c r="C12" s="66" t="s">
        <v>120</v>
      </c>
      <c r="D12" s="64" t="s">
        <v>121</v>
      </c>
      <c r="E12" s="64" t="s">
        <v>122</v>
      </c>
      <c r="F12" s="64" t="s">
        <v>42</v>
      </c>
      <c r="G12" s="67" t="s">
        <v>112</v>
      </c>
      <c r="H12" s="68">
        <v>9474.9</v>
      </c>
      <c r="I12" s="68">
        <v>10001.23</v>
      </c>
      <c r="J12" s="68">
        <v>3977.93</v>
      </c>
      <c r="K12" s="69">
        <f t="shared" si="0"/>
        <v>6023.2999999999993</v>
      </c>
      <c r="L12" s="70" t="s">
        <v>123</v>
      </c>
    </row>
    <row r="13" spans="1:15" s="71" customFormat="1" x14ac:dyDescent="0.25">
      <c r="A13" s="64" t="s">
        <v>124</v>
      </c>
      <c r="B13" s="65">
        <v>84</v>
      </c>
      <c r="C13" s="66" t="s">
        <v>120</v>
      </c>
      <c r="D13" s="64" t="s">
        <v>121</v>
      </c>
      <c r="E13" s="64" t="s">
        <v>122</v>
      </c>
      <c r="F13" s="64" t="s">
        <v>42</v>
      </c>
      <c r="G13" s="67" t="s">
        <v>112</v>
      </c>
      <c r="H13" s="68">
        <v>9474.9</v>
      </c>
      <c r="I13" s="68">
        <v>11054.09</v>
      </c>
      <c r="J13" s="68">
        <v>6851.79</v>
      </c>
      <c r="K13" s="69">
        <f t="shared" si="0"/>
        <v>4202.3</v>
      </c>
      <c r="L13" s="70" t="s">
        <v>123</v>
      </c>
    </row>
    <row r="14" spans="1:15" s="71" customFormat="1" ht="15.75" customHeight="1" x14ac:dyDescent="0.25">
      <c r="A14" s="64" t="s">
        <v>125</v>
      </c>
      <c r="B14" s="65">
        <v>80</v>
      </c>
      <c r="C14" s="66" t="s">
        <v>126</v>
      </c>
      <c r="D14" s="64" t="s">
        <v>127</v>
      </c>
      <c r="E14" s="64" t="s">
        <v>128</v>
      </c>
      <c r="F14" s="64" t="s">
        <v>44</v>
      </c>
      <c r="G14" s="67" t="s">
        <v>112</v>
      </c>
      <c r="H14" s="68">
        <v>14011.1</v>
      </c>
      <c r="I14" s="68">
        <v>15437.6</v>
      </c>
      <c r="J14" s="68">
        <v>6575.52</v>
      </c>
      <c r="K14" s="69">
        <f t="shared" si="0"/>
        <v>8862.08</v>
      </c>
      <c r="L14" s="70" t="s">
        <v>123</v>
      </c>
    </row>
    <row r="15" spans="1:15" s="71" customFormat="1" ht="15.75" customHeight="1" x14ac:dyDescent="0.25">
      <c r="A15" s="64" t="s">
        <v>129</v>
      </c>
      <c r="B15" s="65">
        <v>54</v>
      </c>
      <c r="C15" s="66" t="s">
        <v>130</v>
      </c>
      <c r="D15" s="64" t="s">
        <v>53</v>
      </c>
      <c r="E15" s="64" t="s">
        <v>128</v>
      </c>
      <c r="F15" s="64" t="s">
        <v>46</v>
      </c>
      <c r="G15" s="67" t="s">
        <v>112</v>
      </c>
      <c r="H15" s="68">
        <v>9680.8799999999992</v>
      </c>
      <c r="I15" s="68">
        <v>21144.17</v>
      </c>
      <c r="J15" s="68">
        <v>14305.42</v>
      </c>
      <c r="K15" s="69">
        <f t="shared" si="0"/>
        <v>6838.7499999999982</v>
      </c>
      <c r="L15" s="70" t="s">
        <v>131</v>
      </c>
    </row>
    <row r="16" spans="1:15" s="71" customFormat="1" x14ac:dyDescent="0.25">
      <c r="A16" s="64" t="s">
        <v>132</v>
      </c>
      <c r="B16" s="65">
        <v>4</v>
      </c>
      <c r="C16" s="66" t="s">
        <v>133</v>
      </c>
      <c r="D16" s="64" t="s">
        <v>127</v>
      </c>
      <c r="E16" s="64" t="s">
        <v>122</v>
      </c>
      <c r="F16" s="64" t="s">
        <v>44</v>
      </c>
      <c r="G16" s="67" t="s">
        <v>112</v>
      </c>
      <c r="H16" s="68">
        <v>16500.2</v>
      </c>
      <c r="I16" s="68">
        <v>19006.29</v>
      </c>
      <c r="J16" s="68">
        <v>7685.22</v>
      </c>
      <c r="K16" s="69">
        <f t="shared" si="0"/>
        <v>11321.07</v>
      </c>
      <c r="L16" s="70" t="s">
        <v>123</v>
      </c>
      <c r="O16" s="109"/>
    </row>
    <row r="17" spans="1:15" s="71" customFormat="1" x14ac:dyDescent="0.25">
      <c r="A17" s="64" t="s">
        <v>134</v>
      </c>
      <c r="B17" s="65">
        <v>85</v>
      </c>
      <c r="C17" s="66" t="s">
        <v>120</v>
      </c>
      <c r="D17" s="64" t="s">
        <v>121</v>
      </c>
      <c r="E17" s="64" t="s">
        <v>122</v>
      </c>
      <c r="F17" s="64" t="s">
        <v>48</v>
      </c>
      <c r="G17" s="67" t="s">
        <v>112</v>
      </c>
      <c r="H17" s="68">
        <v>9474.9</v>
      </c>
      <c r="I17" s="72">
        <v>11746.9</v>
      </c>
      <c r="J17" s="68">
        <v>7474.97</v>
      </c>
      <c r="K17" s="69">
        <f t="shared" si="0"/>
        <v>4271.9299999999994</v>
      </c>
      <c r="L17" s="70" t="s">
        <v>135</v>
      </c>
      <c r="O17" s="109"/>
    </row>
    <row r="18" spans="1:15" s="71" customFormat="1" ht="15.75" customHeight="1" x14ac:dyDescent="0.25">
      <c r="A18" s="64" t="s">
        <v>136</v>
      </c>
      <c r="B18" s="65">
        <v>75</v>
      </c>
      <c r="C18" s="66" t="s">
        <v>130</v>
      </c>
      <c r="D18" s="64" t="s">
        <v>53</v>
      </c>
      <c r="E18" s="64" t="s">
        <v>128</v>
      </c>
      <c r="F18" s="64" t="s">
        <v>42</v>
      </c>
      <c r="G18" s="67" t="s">
        <v>112</v>
      </c>
      <c r="H18" s="68">
        <v>9680.8799999999992</v>
      </c>
      <c r="I18" s="68">
        <v>15125.49</v>
      </c>
      <c r="J18" s="68">
        <v>8468.43</v>
      </c>
      <c r="K18" s="69">
        <f t="shared" si="0"/>
        <v>6657.0599999999995</v>
      </c>
      <c r="L18" s="70" t="s">
        <v>137</v>
      </c>
    </row>
    <row r="19" spans="1:15" s="71" customFormat="1" x14ac:dyDescent="0.25">
      <c r="A19" s="64" t="s">
        <v>138</v>
      </c>
      <c r="B19" s="65">
        <v>57</v>
      </c>
      <c r="C19" s="66" t="s">
        <v>139</v>
      </c>
      <c r="D19" s="64" t="s">
        <v>127</v>
      </c>
      <c r="E19" s="64" t="s">
        <v>122</v>
      </c>
      <c r="F19" s="73" t="s">
        <v>64</v>
      </c>
      <c r="G19" s="67" t="s">
        <v>112</v>
      </c>
      <c r="H19" s="68">
        <v>13266.04</v>
      </c>
      <c r="I19" s="68">
        <v>15115.86</v>
      </c>
      <c r="J19" s="68">
        <v>3546.49</v>
      </c>
      <c r="K19" s="69">
        <f t="shared" si="0"/>
        <v>11569.37</v>
      </c>
      <c r="L19" s="70" t="s">
        <v>140</v>
      </c>
    </row>
    <row r="20" spans="1:15" s="71" customFormat="1" x14ac:dyDescent="0.25">
      <c r="A20" s="64" t="s">
        <v>141</v>
      </c>
      <c r="B20" s="65">
        <v>58</v>
      </c>
      <c r="C20" s="66" t="s">
        <v>142</v>
      </c>
      <c r="D20" s="64" t="s">
        <v>53</v>
      </c>
      <c r="E20" s="64" t="s">
        <v>143</v>
      </c>
      <c r="F20" s="73" t="s">
        <v>64</v>
      </c>
      <c r="G20" s="67" t="s">
        <v>112</v>
      </c>
      <c r="H20" s="68">
        <v>7575.14</v>
      </c>
      <c r="I20" s="68">
        <v>9839.2199999999993</v>
      </c>
      <c r="J20" s="74">
        <v>2108.54</v>
      </c>
      <c r="K20" s="69">
        <f t="shared" si="0"/>
        <v>7730.6799999999994</v>
      </c>
      <c r="L20" s="70" t="s">
        <v>144</v>
      </c>
    </row>
    <row r="21" spans="1:15" s="71" customFormat="1" x14ac:dyDescent="0.25">
      <c r="A21" s="64" t="s">
        <v>145</v>
      </c>
      <c r="B21" s="65">
        <v>14</v>
      </c>
      <c r="C21" s="66" t="s">
        <v>133</v>
      </c>
      <c r="D21" s="64" t="s">
        <v>127</v>
      </c>
      <c r="E21" s="64" t="s">
        <v>128</v>
      </c>
      <c r="F21" s="64" t="s">
        <v>36</v>
      </c>
      <c r="G21" s="67" t="s">
        <v>112</v>
      </c>
      <c r="H21" s="68">
        <v>16500.2</v>
      </c>
      <c r="I21" s="68">
        <v>25802.82</v>
      </c>
      <c r="J21" s="68">
        <v>20672.66</v>
      </c>
      <c r="K21" s="69">
        <f t="shared" si="0"/>
        <v>5130.16</v>
      </c>
      <c r="L21" s="70" t="s">
        <v>146</v>
      </c>
    </row>
    <row r="22" spans="1:15" s="71" customFormat="1" x14ac:dyDescent="0.25">
      <c r="A22" s="64" t="s">
        <v>147</v>
      </c>
      <c r="B22" s="65">
        <v>44</v>
      </c>
      <c r="C22" s="66" t="s">
        <v>148</v>
      </c>
      <c r="D22" s="64" t="s">
        <v>127</v>
      </c>
      <c r="E22" s="64" t="s">
        <v>122</v>
      </c>
      <c r="F22" s="64" t="s">
        <v>40</v>
      </c>
      <c r="G22" s="67" t="s">
        <v>112</v>
      </c>
      <c r="H22" s="68">
        <v>12564.1</v>
      </c>
      <c r="I22" s="68">
        <v>13850.96</v>
      </c>
      <c r="J22" s="68">
        <v>5865.98</v>
      </c>
      <c r="K22" s="69">
        <f t="shared" si="0"/>
        <v>7984.98</v>
      </c>
      <c r="L22" s="70" t="s">
        <v>123</v>
      </c>
    </row>
    <row r="23" spans="1:15" s="71" customFormat="1" x14ac:dyDescent="0.25">
      <c r="A23" s="64" t="s">
        <v>149</v>
      </c>
      <c r="B23" s="65">
        <v>61</v>
      </c>
      <c r="C23" s="66" t="s">
        <v>150</v>
      </c>
      <c r="D23" s="64" t="s">
        <v>121</v>
      </c>
      <c r="E23" s="64" t="s">
        <v>122</v>
      </c>
      <c r="F23" s="64" t="s">
        <v>34</v>
      </c>
      <c r="G23" s="67" t="s">
        <v>112</v>
      </c>
      <c r="H23" s="68">
        <v>12439.9</v>
      </c>
      <c r="I23" s="68">
        <v>20230.8</v>
      </c>
      <c r="J23" s="68">
        <v>13334.38</v>
      </c>
      <c r="K23" s="69">
        <f t="shared" si="0"/>
        <v>6896.42</v>
      </c>
      <c r="L23" s="70" t="s">
        <v>123</v>
      </c>
    </row>
    <row r="24" spans="1:15" s="71" customFormat="1" x14ac:dyDescent="0.25">
      <c r="A24" s="64" t="s">
        <v>151</v>
      </c>
      <c r="B24" s="65">
        <v>13</v>
      </c>
      <c r="C24" s="66" t="s">
        <v>133</v>
      </c>
      <c r="D24" s="64" t="s">
        <v>127</v>
      </c>
      <c r="E24" s="64" t="s">
        <v>128</v>
      </c>
      <c r="F24" s="64" t="s">
        <v>32</v>
      </c>
      <c r="G24" s="67" t="s">
        <v>112</v>
      </c>
      <c r="H24" s="68">
        <v>16500.2</v>
      </c>
      <c r="I24" s="68">
        <v>23353.68</v>
      </c>
      <c r="J24" s="68">
        <v>14838.34</v>
      </c>
      <c r="K24" s="69">
        <f t="shared" si="0"/>
        <v>8515.34</v>
      </c>
      <c r="L24" s="70" t="s">
        <v>146</v>
      </c>
    </row>
    <row r="25" spans="1:15" s="71" customFormat="1" x14ac:dyDescent="0.25">
      <c r="A25" s="64" t="s">
        <v>152</v>
      </c>
      <c r="B25" s="65">
        <v>73</v>
      </c>
      <c r="C25" s="66" t="s">
        <v>126</v>
      </c>
      <c r="D25" s="64" t="s">
        <v>127</v>
      </c>
      <c r="E25" s="64" t="s">
        <v>153</v>
      </c>
      <c r="F25" s="64" t="s">
        <v>40</v>
      </c>
      <c r="G25" s="67" t="s">
        <v>112</v>
      </c>
      <c r="H25" s="68">
        <v>14011.1</v>
      </c>
      <c r="I25" s="68">
        <v>17758.09</v>
      </c>
      <c r="J25" s="68">
        <v>6891.27</v>
      </c>
      <c r="K25" s="69">
        <f t="shared" si="0"/>
        <v>10866.82</v>
      </c>
      <c r="L25" s="70" t="s">
        <v>154</v>
      </c>
    </row>
    <row r="26" spans="1:15" s="71" customFormat="1" x14ac:dyDescent="0.25">
      <c r="A26" s="64" t="s">
        <v>155</v>
      </c>
      <c r="B26" s="65">
        <v>89</v>
      </c>
      <c r="C26" s="66" t="s">
        <v>120</v>
      </c>
      <c r="D26" s="64" t="s">
        <v>121</v>
      </c>
      <c r="E26" s="64" t="s">
        <v>122</v>
      </c>
      <c r="F26" s="64" t="s">
        <v>32</v>
      </c>
      <c r="G26" s="67" t="s">
        <v>112</v>
      </c>
      <c r="H26" s="68">
        <v>9474.9</v>
      </c>
      <c r="I26" s="68">
        <v>11054.03</v>
      </c>
      <c r="J26" s="68">
        <v>4318.1899999999996</v>
      </c>
      <c r="K26" s="69">
        <f t="shared" si="0"/>
        <v>6735.8400000000011</v>
      </c>
      <c r="L26" s="70" t="s">
        <v>156</v>
      </c>
    </row>
    <row r="27" spans="1:15" s="71" customFormat="1" x14ac:dyDescent="0.25">
      <c r="A27" s="64" t="s">
        <v>157</v>
      </c>
      <c r="B27" s="65">
        <v>60</v>
      </c>
      <c r="C27" s="66" t="s">
        <v>158</v>
      </c>
      <c r="D27" s="64" t="s">
        <v>92</v>
      </c>
      <c r="E27" s="64" t="s">
        <v>128</v>
      </c>
      <c r="F27" s="64" t="s">
        <v>16</v>
      </c>
      <c r="G27" s="67" t="s">
        <v>117</v>
      </c>
      <c r="H27" s="68">
        <v>18962.259999999998</v>
      </c>
      <c r="I27" s="68">
        <v>28463.08</v>
      </c>
      <c r="J27" s="68">
        <v>18136.25</v>
      </c>
      <c r="K27" s="69">
        <f t="shared" si="0"/>
        <v>10326.830000000002</v>
      </c>
      <c r="L27" s="70" t="s">
        <v>159</v>
      </c>
    </row>
    <row r="28" spans="1:15" s="71" customFormat="1" ht="15.75" customHeight="1" x14ac:dyDescent="0.25">
      <c r="A28" s="64" t="s">
        <v>160</v>
      </c>
      <c r="B28" s="65">
        <v>81</v>
      </c>
      <c r="C28" s="66" t="s">
        <v>161</v>
      </c>
      <c r="D28" s="64" t="s">
        <v>92</v>
      </c>
      <c r="E28" s="64" t="s">
        <v>162</v>
      </c>
      <c r="F28" s="64" t="s">
        <v>16</v>
      </c>
      <c r="G28" s="67" t="s">
        <v>117</v>
      </c>
      <c r="H28" s="68">
        <v>15766.65</v>
      </c>
      <c r="I28" s="68">
        <v>20076</v>
      </c>
      <c r="J28" s="68">
        <v>10090.52</v>
      </c>
      <c r="K28" s="69">
        <f t="shared" si="0"/>
        <v>9985.48</v>
      </c>
      <c r="L28" s="70" t="s">
        <v>163</v>
      </c>
    </row>
    <row r="29" spans="1:15" s="71" customFormat="1" ht="15.75" customHeight="1" x14ac:dyDescent="0.25">
      <c r="A29" s="64" t="s">
        <v>164</v>
      </c>
      <c r="B29" s="65">
        <v>76</v>
      </c>
      <c r="C29" s="66" t="s">
        <v>130</v>
      </c>
      <c r="D29" s="64" t="s">
        <v>53</v>
      </c>
      <c r="E29" s="64" t="s">
        <v>128</v>
      </c>
      <c r="F29" s="64" t="s">
        <v>48</v>
      </c>
      <c r="G29" s="67" t="s">
        <v>112</v>
      </c>
      <c r="H29" s="68">
        <v>9680.8799999999992</v>
      </c>
      <c r="I29" s="68">
        <v>17505.509999999998</v>
      </c>
      <c r="J29" s="68">
        <v>12022.11</v>
      </c>
      <c r="K29" s="69">
        <f t="shared" si="0"/>
        <v>5483.3999999999978</v>
      </c>
      <c r="L29" s="70" t="s">
        <v>165</v>
      </c>
    </row>
    <row r="30" spans="1:15" s="71" customFormat="1" x14ac:dyDescent="0.25">
      <c r="A30" s="64" t="s">
        <v>166</v>
      </c>
      <c r="B30" s="65">
        <v>8</v>
      </c>
      <c r="C30" s="66" t="s">
        <v>167</v>
      </c>
      <c r="D30" s="64" t="s">
        <v>127</v>
      </c>
      <c r="E30" s="64" t="s">
        <v>128</v>
      </c>
      <c r="F30" s="64" t="s">
        <v>30</v>
      </c>
      <c r="G30" s="67" t="s">
        <v>112</v>
      </c>
      <c r="H30" s="68">
        <v>15622.31</v>
      </c>
      <c r="I30" s="68">
        <v>19841.07</v>
      </c>
      <c r="J30" s="68">
        <v>7984.5</v>
      </c>
      <c r="K30" s="69">
        <f t="shared" si="0"/>
        <v>11856.57</v>
      </c>
      <c r="L30" s="70" t="s">
        <v>156</v>
      </c>
    </row>
    <row r="31" spans="1:15" s="71" customFormat="1" x14ac:dyDescent="0.25">
      <c r="A31" s="64" t="s">
        <v>168</v>
      </c>
      <c r="B31" s="65">
        <v>79</v>
      </c>
      <c r="C31" s="66" t="s">
        <v>169</v>
      </c>
      <c r="D31" s="64" t="s">
        <v>53</v>
      </c>
      <c r="E31" s="64" t="s">
        <v>143</v>
      </c>
      <c r="F31" s="64" t="s">
        <v>30</v>
      </c>
      <c r="G31" s="67" t="s">
        <v>112</v>
      </c>
      <c r="H31" s="68">
        <v>8055.68</v>
      </c>
      <c r="I31" s="68">
        <v>10299.24</v>
      </c>
      <c r="J31" s="75">
        <v>3944.11</v>
      </c>
      <c r="K31" s="69">
        <f t="shared" si="0"/>
        <v>6355.1299999999992</v>
      </c>
      <c r="L31" s="70" t="s">
        <v>170</v>
      </c>
    </row>
    <row r="32" spans="1:15" s="71" customFormat="1" x14ac:dyDescent="0.25">
      <c r="A32" s="64" t="s">
        <v>171</v>
      </c>
      <c r="B32" s="65">
        <v>49</v>
      </c>
      <c r="C32" s="66" t="s">
        <v>169</v>
      </c>
      <c r="D32" s="64" t="s">
        <v>53</v>
      </c>
      <c r="E32" s="64" t="s">
        <v>143</v>
      </c>
      <c r="F32" s="64" t="s">
        <v>40</v>
      </c>
      <c r="G32" s="67" t="s">
        <v>112</v>
      </c>
      <c r="H32" s="68">
        <v>8055.68</v>
      </c>
      <c r="I32" s="68">
        <v>9426.3799999999992</v>
      </c>
      <c r="J32" s="68">
        <v>3674.33</v>
      </c>
      <c r="K32" s="69">
        <f t="shared" si="0"/>
        <v>5752.0499999999993</v>
      </c>
      <c r="L32" s="70" t="s">
        <v>172</v>
      </c>
    </row>
    <row r="33" spans="1:12" s="71" customFormat="1" x14ac:dyDescent="0.25">
      <c r="A33" s="64" t="s">
        <v>173</v>
      </c>
      <c r="B33" s="65">
        <v>86</v>
      </c>
      <c r="C33" s="66" t="s">
        <v>174</v>
      </c>
      <c r="D33" s="64" t="s">
        <v>121</v>
      </c>
      <c r="E33" s="64" t="s">
        <v>122</v>
      </c>
      <c r="F33" s="64" t="s">
        <v>36</v>
      </c>
      <c r="G33" s="67" t="s">
        <v>112</v>
      </c>
      <c r="H33" s="68">
        <v>8973.5300000000007</v>
      </c>
      <c r="I33" s="68">
        <v>9472.0499999999993</v>
      </c>
      <c r="J33" s="68">
        <v>3828.1</v>
      </c>
      <c r="K33" s="69">
        <f t="shared" si="0"/>
        <v>5643.9499999999989</v>
      </c>
      <c r="L33" s="70" t="s">
        <v>123</v>
      </c>
    </row>
    <row r="34" spans="1:12" s="71" customFormat="1" x14ac:dyDescent="0.25">
      <c r="A34" s="64" t="s">
        <v>175</v>
      </c>
      <c r="B34" s="65">
        <v>65</v>
      </c>
      <c r="C34" s="66" t="s">
        <v>176</v>
      </c>
      <c r="D34" s="64" t="s">
        <v>121</v>
      </c>
      <c r="E34" s="64" t="s">
        <v>122</v>
      </c>
      <c r="F34" s="64" t="s">
        <v>32</v>
      </c>
      <c r="G34" s="67" t="s">
        <v>112</v>
      </c>
      <c r="H34" s="68">
        <v>12439.9</v>
      </c>
      <c r="I34" s="68">
        <v>13855.1</v>
      </c>
      <c r="J34" s="68">
        <v>5585.51</v>
      </c>
      <c r="K34" s="69">
        <f t="shared" ref="K34:K60" si="1">I34-J34</f>
        <v>8269.59</v>
      </c>
      <c r="L34" s="70" t="s">
        <v>123</v>
      </c>
    </row>
    <row r="35" spans="1:12" s="71" customFormat="1" x14ac:dyDescent="0.25">
      <c r="A35" s="64" t="s">
        <v>177</v>
      </c>
      <c r="B35" s="65">
        <v>35</v>
      </c>
      <c r="C35" s="66" t="s">
        <v>178</v>
      </c>
      <c r="D35" s="64" t="s">
        <v>53</v>
      </c>
      <c r="E35" s="64" t="s">
        <v>128</v>
      </c>
      <c r="F35" s="64" t="s">
        <v>34</v>
      </c>
      <c r="G35" s="67" t="s">
        <v>112</v>
      </c>
      <c r="H35" s="68">
        <v>9103.19</v>
      </c>
      <c r="I35" s="68">
        <v>12501.49</v>
      </c>
      <c r="J35" s="68">
        <v>5480.13</v>
      </c>
      <c r="K35" s="69">
        <f t="shared" si="1"/>
        <v>7021.36</v>
      </c>
      <c r="L35" s="70" t="s">
        <v>179</v>
      </c>
    </row>
    <row r="36" spans="1:12" s="71" customFormat="1" x14ac:dyDescent="0.25">
      <c r="A36" s="64" t="s">
        <v>180</v>
      </c>
      <c r="B36" s="65">
        <v>56</v>
      </c>
      <c r="C36" s="66" t="s">
        <v>133</v>
      </c>
      <c r="D36" s="64" t="s">
        <v>127</v>
      </c>
      <c r="E36" s="64" t="s">
        <v>128</v>
      </c>
      <c r="F36" s="64" t="s">
        <v>40</v>
      </c>
      <c r="G36" s="67" t="s">
        <v>112</v>
      </c>
      <c r="H36" s="68">
        <v>16500.2</v>
      </c>
      <c r="I36" s="68">
        <v>20865.419999999998</v>
      </c>
      <c r="J36" s="68">
        <v>8032.43</v>
      </c>
      <c r="K36" s="69">
        <f t="shared" si="1"/>
        <v>12832.989999999998</v>
      </c>
      <c r="L36" s="70" t="s">
        <v>181</v>
      </c>
    </row>
    <row r="37" spans="1:12" s="71" customFormat="1" x14ac:dyDescent="0.25">
      <c r="A37" s="64" t="s">
        <v>182</v>
      </c>
      <c r="B37" s="65">
        <v>34</v>
      </c>
      <c r="C37" s="66" t="s">
        <v>130</v>
      </c>
      <c r="D37" s="64" t="s">
        <v>53</v>
      </c>
      <c r="E37" s="64" t="s">
        <v>143</v>
      </c>
      <c r="F37" s="64" t="s">
        <v>34</v>
      </c>
      <c r="G37" s="67" t="s">
        <v>112</v>
      </c>
      <c r="H37" s="68">
        <v>9680.8799999999992</v>
      </c>
      <c r="I37" s="68">
        <v>11513.74</v>
      </c>
      <c r="J37" s="68">
        <v>4546.67</v>
      </c>
      <c r="K37" s="69">
        <f t="shared" si="1"/>
        <v>6967.07</v>
      </c>
      <c r="L37" s="70" t="s">
        <v>172</v>
      </c>
    </row>
    <row r="38" spans="1:12" s="71" customFormat="1" x14ac:dyDescent="0.25">
      <c r="A38" s="64" t="s">
        <v>183</v>
      </c>
      <c r="B38" s="65">
        <v>69</v>
      </c>
      <c r="C38" s="66" t="s">
        <v>139</v>
      </c>
      <c r="D38" s="64" t="s">
        <v>127</v>
      </c>
      <c r="E38" s="64" t="s">
        <v>184</v>
      </c>
      <c r="F38" s="64" t="s">
        <v>10</v>
      </c>
      <c r="G38" s="67" t="s">
        <v>185</v>
      </c>
      <c r="H38" s="68">
        <v>13266.04</v>
      </c>
      <c r="I38" s="68">
        <v>16219.83</v>
      </c>
      <c r="J38" s="68">
        <v>5737.5</v>
      </c>
      <c r="K38" s="69">
        <f t="shared" si="1"/>
        <v>10482.33</v>
      </c>
      <c r="L38" s="70" t="s">
        <v>186</v>
      </c>
    </row>
    <row r="39" spans="1:12" s="71" customFormat="1" x14ac:dyDescent="0.25">
      <c r="A39" s="64" t="s">
        <v>187</v>
      </c>
      <c r="B39" s="65">
        <v>51</v>
      </c>
      <c r="C39" s="66" t="s">
        <v>169</v>
      </c>
      <c r="D39" s="64" t="s">
        <v>53</v>
      </c>
      <c r="E39" s="64" t="s">
        <v>143</v>
      </c>
      <c r="F39" s="64" t="s">
        <v>36</v>
      </c>
      <c r="G39" s="67" t="s">
        <v>112</v>
      </c>
      <c r="H39" s="68">
        <v>8055.68</v>
      </c>
      <c r="I39" s="68">
        <v>9428.36</v>
      </c>
      <c r="J39" s="68">
        <v>3909.93</v>
      </c>
      <c r="K39" s="69">
        <f t="shared" si="1"/>
        <v>5518.43</v>
      </c>
      <c r="L39" s="70" t="s">
        <v>172</v>
      </c>
    </row>
    <row r="40" spans="1:12" s="71" customFormat="1" x14ac:dyDescent="0.25">
      <c r="A40" s="64" t="s">
        <v>188</v>
      </c>
      <c r="B40" s="65">
        <v>70</v>
      </c>
      <c r="C40" s="66" t="s">
        <v>148</v>
      </c>
      <c r="D40" s="64" t="s">
        <v>127</v>
      </c>
      <c r="E40" s="64" t="s">
        <v>184</v>
      </c>
      <c r="F40" s="64" t="s">
        <v>10</v>
      </c>
      <c r="G40" s="67" t="s">
        <v>185</v>
      </c>
      <c r="H40" s="68">
        <v>12564.1</v>
      </c>
      <c r="I40" s="68">
        <v>13857.14</v>
      </c>
      <c r="J40" s="68">
        <v>7266.89</v>
      </c>
      <c r="K40" s="69">
        <f t="shared" si="1"/>
        <v>6590.2499999999991</v>
      </c>
      <c r="L40" s="70" t="s">
        <v>123</v>
      </c>
    </row>
    <row r="41" spans="1:12" s="83" customFormat="1" x14ac:dyDescent="0.25">
      <c r="A41" s="76" t="s">
        <v>189</v>
      </c>
      <c r="B41" s="77">
        <v>1125</v>
      </c>
      <c r="C41" s="78"/>
      <c r="D41" s="76" t="s">
        <v>190</v>
      </c>
      <c r="E41" s="76" t="s">
        <v>191</v>
      </c>
      <c r="F41" s="76" t="s">
        <v>40</v>
      </c>
      <c r="G41" s="79" t="s">
        <v>117</v>
      </c>
      <c r="H41" s="80">
        <v>1200</v>
      </c>
      <c r="I41" s="80">
        <v>1660</v>
      </c>
      <c r="J41" s="80">
        <v>0</v>
      </c>
      <c r="K41" s="81">
        <f t="shared" si="1"/>
        <v>1660</v>
      </c>
      <c r="L41" s="82" t="s">
        <v>192</v>
      </c>
    </row>
    <row r="42" spans="1:12" s="83" customFormat="1" x14ac:dyDescent="0.25">
      <c r="A42" s="76" t="s">
        <v>193</v>
      </c>
      <c r="B42" s="77">
        <v>1025</v>
      </c>
      <c r="C42" s="78"/>
      <c r="D42" s="76" t="s">
        <v>194</v>
      </c>
      <c r="E42" s="76" t="s">
        <v>191</v>
      </c>
      <c r="F42" s="76" t="s">
        <v>38</v>
      </c>
      <c r="G42" s="79" t="s">
        <v>117</v>
      </c>
      <c r="H42" s="84">
        <v>1200</v>
      </c>
      <c r="I42" s="80">
        <v>1440</v>
      </c>
      <c r="J42" s="81">
        <v>0</v>
      </c>
      <c r="K42" s="81">
        <f t="shared" si="1"/>
        <v>1440</v>
      </c>
      <c r="L42" s="82" t="s">
        <v>192</v>
      </c>
    </row>
    <row r="43" spans="1:12" s="83" customFormat="1" x14ac:dyDescent="0.25">
      <c r="A43" s="76" t="s">
        <v>195</v>
      </c>
      <c r="B43" s="77">
        <v>1032</v>
      </c>
      <c r="C43" s="78"/>
      <c r="D43" s="76" t="s">
        <v>194</v>
      </c>
      <c r="E43" s="76" t="s">
        <v>191</v>
      </c>
      <c r="F43" s="76" t="s">
        <v>30</v>
      </c>
      <c r="G43" s="79" t="s">
        <v>117</v>
      </c>
      <c r="H43" s="84">
        <v>1200</v>
      </c>
      <c r="I43" s="80">
        <v>1440</v>
      </c>
      <c r="J43" s="81">
        <v>0</v>
      </c>
      <c r="K43" s="81">
        <f t="shared" si="1"/>
        <v>1440</v>
      </c>
      <c r="L43" s="82" t="s">
        <v>192</v>
      </c>
    </row>
    <row r="44" spans="1:12" s="83" customFormat="1" x14ac:dyDescent="0.25">
      <c r="A44" s="76" t="s">
        <v>196</v>
      </c>
      <c r="B44" s="77">
        <v>1033</v>
      </c>
      <c r="C44" s="78"/>
      <c r="D44" s="76" t="s">
        <v>194</v>
      </c>
      <c r="E44" s="76" t="s">
        <v>191</v>
      </c>
      <c r="F44" s="76" t="s">
        <v>42</v>
      </c>
      <c r="G44" s="79" t="s">
        <v>117</v>
      </c>
      <c r="H44" s="84">
        <v>1200</v>
      </c>
      <c r="I44" s="80">
        <v>1440</v>
      </c>
      <c r="J44" s="81">
        <v>0</v>
      </c>
      <c r="K44" s="81">
        <f t="shared" si="1"/>
        <v>1440</v>
      </c>
      <c r="L44" s="82" t="s">
        <v>192</v>
      </c>
    </row>
    <row r="45" spans="1:12" s="83" customFormat="1" x14ac:dyDescent="0.25">
      <c r="A45" s="76" t="s">
        <v>197</v>
      </c>
      <c r="B45" s="77">
        <v>1024</v>
      </c>
      <c r="C45" s="78"/>
      <c r="D45" s="76" t="s">
        <v>194</v>
      </c>
      <c r="E45" s="76" t="s">
        <v>191</v>
      </c>
      <c r="F45" s="76" t="s">
        <v>44</v>
      </c>
      <c r="G45" s="79" t="s">
        <v>117</v>
      </c>
      <c r="H45" s="84">
        <v>1200</v>
      </c>
      <c r="I45" s="80">
        <v>1308</v>
      </c>
      <c r="J45" s="81">
        <v>0</v>
      </c>
      <c r="K45" s="81">
        <f t="shared" si="1"/>
        <v>1308</v>
      </c>
      <c r="L45" s="82" t="s">
        <v>192</v>
      </c>
    </row>
    <row r="46" spans="1:12" s="83" customFormat="1" x14ac:dyDescent="0.25">
      <c r="A46" s="76" t="s">
        <v>198</v>
      </c>
      <c r="B46" s="77">
        <v>1023</v>
      </c>
      <c r="C46" s="78"/>
      <c r="D46" s="76" t="s">
        <v>190</v>
      </c>
      <c r="E46" s="76" t="s">
        <v>191</v>
      </c>
      <c r="F46" s="76" t="s">
        <v>40</v>
      </c>
      <c r="G46" s="79" t="s">
        <v>117</v>
      </c>
      <c r="H46" s="85">
        <v>1200</v>
      </c>
      <c r="I46" s="80">
        <v>1212</v>
      </c>
      <c r="J46" s="81">
        <v>0</v>
      </c>
      <c r="K46" s="81">
        <f t="shared" si="1"/>
        <v>1212</v>
      </c>
      <c r="L46" s="82" t="s">
        <v>192</v>
      </c>
    </row>
    <row r="47" spans="1:12" s="83" customFormat="1" x14ac:dyDescent="0.25">
      <c r="A47" s="76" t="s">
        <v>199</v>
      </c>
      <c r="B47" s="77">
        <v>1019</v>
      </c>
      <c r="C47" s="78"/>
      <c r="D47" s="76" t="s">
        <v>194</v>
      </c>
      <c r="E47" s="76" t="s">
        <v>191</v>
      </c>
      <c r="F47" s="76" t="s">
        <v>30</v>
      </c>
      <c r="G47" s="79" t="s">
        <v>117</v>
      </c>
      <c r="H47" s="84">
        <v>1200</v>
      </c>
      <c r="I47" s="80">
        <v>1400</v>
      </c>
      <c r="J47" s="81">
        <v>412</v>
      </c>
      <c r="K47" s="81">
        <f t="shared" si="1"/>
        <v>988</v>
      </c>
      <c r="L47" s="82" t="s">
        <v>200</v>
      </c>
    </row>
    <row r="48" spans="1:12" s="83" customFormat="1" x14ac:dyDescent="0.25">
      <c r="A48" s="76" t="s">
        <v>201</v>
      </c>
      <c r="B48" s="77">
        <v>1022</v>
      </c>
      <c r="C48" s="78"/>
      <c r="D48" s="76" t="s">
        <v>194</v>
      </c>
      <c r="E48" s="76" t="s">
        <v>191</v>
      </c>
      <c r="F48" s="76" t="s">
        <v>14</v>
      </c>
      <c r="G48" s="79" t="s">
        <v>117</v>
      </c>
      <c r="H48" s="85">
        <v>1200</v>
      </c>
      <c r="I48" s="80">
        <v>1440</v>
      </c>
      <c r="J48" s="81">
        <v>0</v>
      </c>
      <c r="K48" s="81">
        <f t="shared" si="1"/>
        <v>1440</v>
      </c>
      <c r="L48" s="82" t="s">
        <v>192</v>
      </c>
    </row>
    <row r="49" spans="1:12" s="83" customFormat="1" x14ac:dyDescent="0.25">
      <c r="A49" s="76" t="s">
        <v>202</v>
      </c>
      <c r="B49" s="77">
        <v>1031</v>
      </c>
      <c r="C49" s="78"/>
      <c r="D49" s="76" t="s">
        <v>194</v>
      </c>
      <c r="E49" s="76" t="s">
        <v>191</v>
      </c>
      <c r="F49" s="76" t="s">
        <v>32</v>
      </c>
      <c r="G49" s="79" t="s">
        <v>117</v>
      </c>
      <c r="H49" s="85">
        <v>1200</v>
      </c>
      <c r="I49" s="80">
        <v>1440</v>
      </c>
      <c r="J49" s="81">
        <v>0</v>
      </c>
      <c r="K49" s="81">
        <f t="shared" si="1"/>
        <v>1440</v>
      </c>
      <c r="L49" s="82" t="s">
        <v>192</v>
      </c>
    </row>
    <row r="50" spans="1:12" s="83" customFormat="1" x14ac:dyDescent="0.25">
      <c r="A50" s="76" t="s">
        <v>203</v>
      </c>
      <c r="B50" s="77">
        <v>1027</v>
      </c>
      <c r="C50" s="78"/>
      <c r="D50" s="76" t="s">
        <v>194</v>
      </c>
      <c r="E50" s="76" t="s">
        <v>191</v>
      </c>
      <c r="F50" s="76" t="s">
        <v>14</v>
      </c>
      <c r="G50" s="79" t="s">
        <v>117</v>
      </c>
      <c r="H50" s="84">
        <v>1200</v>
      </c>
      <c r="I50" s="84">
        <v>1440</v>
      </c>
      <c r="J50" s="81">
        <v>0</v>
      </c>
      <c r="K50" s="81">
        <f t="shared" si="1"/>
        <v>1440</v>
      </c>
      <c r="L50" s="82" t="s">
        <v>192</v>
      </c>
    </row>
    <row r="51" spans="1:12" s="83" customFormat="1" x14ac:dyDescent="0.25">
      <c r="A51" s="76" t="s">
        <v>204</v>
      </c>
      <c r="B51" s="77">
        <v>1028</v>
      </c>
      <c r="C51" s="78"/>
      <c r="D51" s="76" t="s">
        <v>194</v>
      </c>
      <c r="E51" s="76" t="s">
        <v>191</v>
      </c>
      <c r="F51" s="76" t="s">
        <v>42</v>
      </c>
      <c r="G51" s="79" t="s">
        <v>117</v>
      </c>
      <c r="H51" s="84">
        <v>1200</v>
      </c>
      <c r="I51" s="84">
        <v>1440</v>
      </c>
      <c r="J51" s="81">
        <v>0</v>
      </c>
      <c r="K51" s="81">
        <f t="shared" si="1"/>
        <v>1440</v>
      </c>
      <c r="L51" s="82" t="s">
        <v>192</v>
      </c>
    </row>
    <row r="52" spans="1:12" s="83" customFormat="1" x14ac:dyDescent="0.25">
      <c r="A52" s="86" t="s">
        <v>205</v>
      </c>
      <c r="B52" s="87">
        <v>2106</v>
      </c>
      <c r="C52" s="88"/>
      <c r="D52" s="86" t="s">
        <v>206</v>
      </c>
      <c r="E52" s="86" t="s">
        <v>206</v>
      </c>
      <c r="F52" s="86" t="s">
        <v>207</v>
      </c>
      <c r="G52" s="89" t="s">
        <v>112</v>
      </c>
      <c r="H52" s="90">
        <v>3666.67</v>
      </c>
      <c r="I52" s="90">
        <v>3666.67</v>
      </c>
      <c r="J52" s="91">
        <v>0</v>
      </c>
      <c r="K52" s="91">
        <f t="shared" si="1"/>
        <v>3666.67</v>
      </c>
      <c r="L52" s="111" t="s">
        <v>208</v>
      </c>
    </row>
    <row r="53" spans="1:12" s="83" customFormat="1" x14ac:dyDescent="0.25">
      <c r="A53" s="86" t="s">
        <v>209</v>
      </c>
      <c r="B53" s="87">
        <v>2107</v>
      </c>
      <c r="C53" s="88"/>
      <c r="D53" s="86" t="s">
        <v>206</v>
      </c>
      <c r="E53" s="86" t="s">
        <v>206</v>
      </c>
      <c r="F53" s="86" t="s">
        <v>207</v>
      </c>
      <c r="G53" s="89" t="s">
        <v>112</v>
      </c>
      <c r="H53" s="90">
        <v>2625</v>
      </c>
      <c r="I53" s="90">
        <f>2625</f>
        <v>2625</v>
      </c>
      <c r="J53" s="91">
        <v>0</v>
      </c>
      <c r="K53" s="91">
        <f t="shared" si="1"/>
        <v>2625</v>
      </c>
      <c r="L53" s="92" t="s">
        <v>208</v>
      </c>
    </row>
    <row r="54" spans="1:12" s="83" customFormat="1" x14ac:dyDescent="0.25">
      <c r="A54" s="86" t="s">
        <v>210</v>
      </c>
      <c r="B54" s="87">
        <v>2108</v>
      </c>
      <c r="C54" s="88"/>
      <c r="D54" s="86" t="s">
        <v>206</v>
      </c>
      <c r="E54" s="86" t="s">
        <v>206</v>
      </c>
      <c r="F54" s="86" t="s">
        <v>207</v>
      </c>
      <c r="G54" s="89" t="s">
        <v>112</v>
      </c>
      <c r="H54" s="90">
        <v>2625</v>
      </c>
      <c r="I54" s="90">
        <v>2625</v>
      </c>
      <c r="J54" s="91">
        <v>0</v>
      </c>
      <c r="K54" s="91">
        <f t="shared" si="1"/>
        <v>2625</v>
      </c>
      <c r="L54" s="92" t="s">
        <v>208</v>
      </c>
    </row>
    <row r="55" spans="1:12" s="93" customFormat="1" x14ac:dyDescent="0.25">
      <c r="A55" s="86" t="s">
        <v>211</v>
      </c>
      <c r="B55" s="87">
        <v>2091</v>
      </c>
      <c r="C55" s="88"/>
      <c r="D55" s="86" t="s">
        <v>206</v>
      </c>
      <c r="E55" s="86" t="s">
        <v>206</v>
      </c>
      <c r="F55" s="86" t="s">
        <v>212</v>
      </c>
      <c r="G55" s="89" t="s">
        <v>112</v>
      </c>
      <c r="H55" s="91">
        <v>5500</v>
      </c>
      <c r="I55" s="91">
        <v>5500</v>
      </c>
      <c r="J55" s="91">
        <v>0</v>
      </c>
      <c r="K55" s="91">
        <f t="shared" si="1"/>
        <v>5500</v>
      </c>
      <c r="L55" s="94" t="s">
        <v>213</v>
      </c>
    </row>
    <row r="56" spans="1:12" s="93" customFormat="1" x14ac:dyDescent="0.25">
      <c r="A56" s="86" t="s">
        <v>214</v>
      </c>
      <c r="B56" s="87">
        <v>2104</v>
      </c>
      <c r="C56" s="88"/>
      <c r="D56" s="86" t="s">
        <v>206</v>
      </c>
      <c r="E56" s="86" t="s">
        <v>206</v>
      </c>
      <c r="F56" s="86" t="s">
        <v>207</v>
      </c>
      <c r="G56" s="89" t="s">
        <v>112</v>
      </c>
      <c r="H56" s="90">
        <v>12500</v>
      </c>
      <c r="I56" s="90">
        <v>12500</v>
      </c>
      <c r="J56" s="91">
        <v>0</v>
      </c>
      <c r="K56" s="91">
        <f t="shared" si="1"/>
        <v>12500</v>
      </c>
      <c r="L56" s="92" t="s">
        <v>208</v>
      </c>
    </row>
    <row r="57" spans="1:12" s="93" customFormat="1" x14ac:dyDescent="0.25">
      <c r="A57" s="86" t="s">
        <v>215</v>
      </c>
      <c r="B57" s="87">
        <v>2002</v>
      </c>
      <c r="C57" s="88"/>
      <c r="D57" s="86" t="s">
        <v>206</v>
      </c>
      <c r="E57" s="86" t="s">
        <v>206</v>
      </c>
      <c r="F57" s="86" t="s">
        <v>38</v>
      </c>
      <c r="G57" s="89" t="s">
        <v>112</v>
      </c>
      <c r="H57" s="91">
        <v>4200</v>
      </c>
      <c r="I57" s="91">
        <v>4200</v>
      </c>
      <c r="J57" s="91">
        <v>0</v>
      </c>
      <c r="K57" s="91">
        <f t="shared" si="1"/>
        <v>4200</v>
      </c>
      <c r="L57" s="94" t="s">
        <v>213</v>
      </c>
    </row>
    <row r="58" spans="1:12" s="93" customFormat="1" x14ac:dyDescent="0.25">
      <c r="A58" s="86" t="s">
        <v>216</v>
      </c>
      <c r="B58" s="87">
        <v>2109</v>
      </c>
      <c r="C58" s="88"/>
      <c r="D58" s="86" t="s">
        <v>206</v>
      </c>
      <c r="E58" s="86" t="s">
        <v>206</v>
      </c>
      <c r="F58" s="86" t="s">
        <v>207</v>
      </c>
      <c r="G58" s="89" t="s">
        <v>112</v>
      </c>
      <c r="H58" s="90">
        <v>2625</v>
      </c>
      <c r="I58" s="90">
        <v>2625</v>
      </c>
      <c r="J58" s="91">
        <v>0</v>
      </c>
      <c r="K58" s="91">
        <f t="shared" si="1"/>
        <v>2625</v>
      </c>
      <c r="L58" s="92" t="s">
        <v>208</v>
      </c>
    </row>
    <row r="59" spans="1:12" s="93" customFormat="1" x14ac:dyDescent="0.25">
      <c r="A59" s="86" t="s">
        <v>217</v>
      </c>
      <c r="B59" s="87">
        <v>2003</v>
      </c>
      <c r="C59" s="88"/>
      <c r="D59" s="86" t="s">
        <v>206</v>
      </c>
      <c r="E59" s="86" t="s">
        <v>206</v>
      </c>
      <c r="F59" s="86" t="s">
        <v>48</v>
      </c>
      <c r="G59" s="89" t="s">
        <v>112</v>
      </c>
      <c r="H59" s="91">
        <v>4200</v>
      </c>
      <c r="I59" s="91">
        <v>4200</v>
      </c>
      <c r="J59" s="91">
        <v>0</v>
      </c>
      <c r="K59" s="91">
        <f t="shared" si="1"/>
        <v>4200</v>
      </c>
      <c r="L59" s="94" t="s">
        <v>213</v>
      </c>
    </row>
    <row r="60" spans="1:12" s="93" customFormat="1" x14ac:dyDescent="0.25">
      <c r="A60" s="86" t="s">
        <v>218</v>
      </c>
      <c r="B60" s="87">
        <v>2110</v>
      </c>
      <c r="C60" s="88"/>
      <c r="D60" s="86" t="s">
        <v>206</v>
      </c>
      <c r="E60" s="86" t="s">
        <v>206</v>
      </c>
      <c r="F60" s="86" t="s">
        <v>207</v>
      </c>
      <c r="G60" s="89" t="s">
        <v>112</v>
      </c>
      <c r="H60" s="90">
        <v>5500</v>
      </c>
      <c r="I60" s="90">
        <v>5500</v>
      </c>
      <c r="J60" s="91">
        <v>0</v>
      </c>
      <c r="K60" s="91">
        <f t="shared" si="1"/>
        <v>5500</v>
      </c>
      <c r="L60" s="92" t="s">
        <v>208</v>
      </c>
    </row>
    <row r="61" spans="1:12" s="100" customFormat="1" x14ac:dyDescent="0.25">
      <c r="A61" s="95"/>
      <c r="B61" s="96"/>
      <c r="C61" s="96" t="s">
        <v>219</v>
      </c>
      <c r="D61" s="95"/>
      <c r="E61" s="95"/>
      <c r="F61" s="95"/>
      <c r="G61" s="97"/>
      <c r="H61" s="98">
        <f>SUM(H2:H60)</f>
        <v>515224.75000000006</v>
      </c>
      <c r="I61" s="98">
        <f>SUM(I2:I60)</f>
        <v>687476.64</v>
      </c>
      <c r="J61" s="98">
        <f>SUM(J2:J60)</f>
        <v>255296.33</v>
      </c>
      <c r="K61" s="98">
        <f>SUM(K2:K60)</f>
        <v>432180.31</v>
      </c>
      <c r="L61" s="99"/>
    </row>
    <row r="62" spans="1:12" x14ac:dyDescent="0.25">
      <c r="I62" s="105"/>
      <c r="J62" s="106"/>
      <c r="K62" s="106"/>
    </row>
    <row r="63" spans="1:12" x14ac:dyDescent="0.25">
      <c r="I63" s="105"/>
      <c r="K63" s="105"/>
    </row>
    <row r="64" spans="1:12" s="104" customFormat="1" x14ac:dyDescent="0.25">
      <c r="A64" s="101"/>
      <c r="B64" s="102"/>
      <c r="C64" s="102"/>
      <c r="D64" s="101"/>
      <c r="E64" s="101"/>
      <c r="F64" s="101"/>
      <c r="G64" s="103"/>
      <c r="I64" s="105"/>
      <c r="L64" s="107"/>
    </row>
    <row r="65" spans="11:11" x14ac:dyDescent="0.25">
      <c r="K65" s="105"/>
    </row>
  </sheetData>
  <autoFilter ref="A1:O65" xr:uid="{F4064140-040D-4F65-887A-D65371FCFCDC}"/>
  <pageMargins left="0.511811024" right="0.511811024" top="0.78740157499999996" bottom="0.78740157499999996" header="0.31496062000000002" footer="0.31496062000000002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D0D102-94B9-42E1-8D16-FA3F24A0323A}">
  <dimension ref="A1:O66"/>
  <sheetViews>
    <sheetView zoomScaleNormal="100" workbookViewId="0">
      <selection activeCell="L29" sqref="L29"/>
    </sheetView>
  </sheetViews>
  <sheetFormatPr defaultColWidth="8.7109375" defaultRowHeight="15.75" x14ac:dyDescent="0.25"/>
  <cols>
    <col min="1" max="1" width="33.42578125" style="101" customWidth="1"/>
    <col min="2" max="2" width="6.5703125" style="102" customWidth="1"/>
    <col min="3" max="3" width="7.85546875" style="102" customWidth="1"/>
    <col min="4" max="4" width="11.7109375" style="101" bestFit="1" customWidth="1"/>
    <col min="5" max="5" width="11.85546875" style="101" customWidth="1"/>
    <col min="6" max="6" width="7.28515625" style="101" customWidth="1"/>
    <col min="7" max="7" width="11.28515625" style="103" customWidth="1"/>
    <col min="8" max="11" width="16.7109375" style="104" customWidth="1"/>
    <col min="12" max="12" width="67.140625" style="107" customWidth="1"/>
    <col min="13" max="14" width="8.7109375" style="108"/>
    <col min="15" max="15" width="11.5703125" style="108" bestFit="1" customWidth="1"/>
    <col min="16" max="16384" width="8.7109375" style="108"/>
  </cols>
  <sheetData>
    <row r="1" spans="1:15" s="38" customFormat="1" ht="25.5" customHeight="1" x14ac:dyDescent="0.25">
      <c r="A1" s="32" t="s">
        <v>77</v>
      </c>
      <c r="B1" s="33" t="s">
        <v>78</v>
      </c>
      <c r="C1" s="32" t="s">
        <v>79</v>
      </c>
      <c r="D1" s="34" t="s">
        <v>80</v>
      </c>
      <c r="E1" s="34" t="s">
        <v>81</v>
      </c>
      <c r="F1" s="34" t="s">
        <v>82</v>
      </c>
      <c r="G1" s="35" t="s">
        <v>83</v>
      </c>
      <c r="H1" s="36" t="s">
        <v>84</v>
      </c>
      <c r="I1" s="36" t="s">
        <v>85</v>
      </c>
      <c r="J1" s="36" t="s">
        <v>86</v>
      </c>
      <c r="K1" s="36" t="s">
        <v>87</v>
      </c>
      <c r="L1" s="37" t="s">
        <v>88</v>
      </c>
    </row>
    <row r="2" spans="1:15" s="45" customFormat="1" x14ac:dyDescent="0.25">
      <c r="A2" s="39" t="s">
        <v>89</v>
      </c>
      <c r="B2" s="40" t="s">
        <v>90</v>
      </c>
      <c r="C2" s="41" t="s">
        <v>91</v>
      </c>
      <c r="D2" s="39" t="s">
        <v>92</v>
      </c>
      <c r="E2" s="39" t="s">
        <v>93</v>
      </c>
      <c r="F2" s="39" t="s">
        <v>94</v>
      </c>
      <c r="G2" s="42"/>
      <c r="H2" s="43">
        <v>34993.339999999997</v>
      </c>
      <c r="I2" s="43">
        <f>38167.32+30232.56</f>
        <v>68399.88</v>
      </c>
      <c r="J2" s="43">
        <v>9388.34</v>
      </c>
      <c r="K2" s="43">
        <f t="shared" ref="K2:K61" si="0">I2-J2</f>
        <v>59011.540000000008</v>
      </c>
      <c r="L2" s="44" t="s">
        <v>95</v>
      </c>
    </row>
    <row r="3" spans="1:15" s="45" customFormat="1" x14ac:dyDescent="0.25">
      <c r="A3" s="39" t="s">
        <v>96</v>
      </c>
      <c r="B3" s="40" t="s">
        <v>97</v>
      </c>
      <c r="C3" s="41" t="s">
        <v>98</v>
      </c>
      <c r="D3" s="39" t="s">
        <v>92</v>
      </c>
      <c r="E3" s="39" t="s">
        <v>99</v>
      </c>
      <c r="F3" s="39" t="s">
        <v>22</v>
      </c>
      <c r="G3" s="42"/>
      <c r="H3" s="43">
        <v>32908.57</v>
      </c>
      <c r="I3" s="43">
        <f>35504.81</f>
        <v>35504.81</v>
      </c>
      <c r="J3" s="43">
        <v>8752.27</v>
      </c>
      <c r="K3" s="43">
        <f t="shared" si="0"/>
        <v>26752.539999999997</v>
      </c>
      <c r="L3" s="44" t="s">
        <v>220</v>
      </c>
    </row>
    <row r="4" spans="1:15" s="45" customFormat="1" x14ac:dyDescent="0.25">
      <c r="A4" s="39" t="s">
        <v>101</v>
      </c>
      <c r="B4" s="40" t="s">
        <v>102</v>
      </c>
      <c r="C4" s="41" t="s">
        <v>98</v>
      </c>
      <c r="D4" s="39" t="s">
        <v>92</v>
      </c>
      <c r="E4" s="39" t="s">
        <v>99</v>
      </c>
      <c r="F4" s="39" t="s">
        <v>24</v>
      </c>
      <c r="G4" s="42"/>
      <c r="H4" s="43">
        <v>32908.57</v>
      </c>
      <c r="I4" s="110">
        <f>32908.57+26588.35</f>
        <v>59496.92</v>
      </c>
      <c r="J4" s="43">
        <v>8815.0300000000007</v>
      </c>
      <c r="K4" s="43">
        <f t="shared" si="0"/>
        <v>50681.89</v>
      </c>
      <c r="L4" s="44" t="s">
        <v>103</v>
      </c>
    </row>
    <row r="5" spans="1:15" s="53" customFormat="1" x14ac:dyDescent="0.25">
      <c r="A5" s="46" t="s">
        <v>104</v>
      </c>
      <c r="B5" s="47">
        <v>95</v>
      </c>
      <c r="C5" s="48" t="s">
        <v>105</v>
      </c>
      <c r="D5" s="46" t="s">
        <v>92</v>
      </c>
      <c r="E5" s="46" t="s">
        <v>106</v>
      </c>
      <c r="F5" s="46" t="s">
        <v>28</v>
      </c>
      <c r="G5" s="49"/>
      <c r="H5" s="50">
        <v>5208.1400000000003</v>
      </c>
      <c r="I5" s="112">
        <v>5208.1400000000003</v>
      </c>
      <c r="J5" s="51">
        <v>381.98</v>
      </c>
      <c r="K5" s="50">
        <f t="shared" si="0"/>
        <v>4826.16</v>
      </c>
      <c r="L5" s="52" t="s">
        <v>221</v>
      </c>
    </row>
    <row r="6" spans="1:15" s="53" customFormat="1" x14ac:dyDescent="0.25">
      <c r="A6" s="46" t="s">
        <v>108</v>
      </c>
      <c r="B6" s="47" t="s">
        <v>109</v>
      </c>
      <c r="C6" s="48" t="s">
        <v>105</v>
      </c>
      <c r="D6" s="46" t="s">
        <v>92</v>
      </c>
      <c r="E6" s="54" t="s">
        <v>106</v>
      </c>
      <c r="F6" s="46" t="s">
        <v>26</v>
      </c>
      <c r="G6" s="49"/>
      <c r="H6" s="50">
        <v>5208.1400000000003</v>
      </c>
      <c r="I6" s="112">
        <f>5208.14+2956.5</f>
        <v>8164.64</v>
      </c>
      <c r="J6" s="51">
        <v>392.6</v>
      </c>
      <c r="K6" s="50">
        <f t="shared" si="0"/>
        <v>7772.04</v>
      </c>
      <c r="L6" s="52" t="s">
        <v>222</v>
      </c>
    </row>
    <row r="7" spans="1:15" s="63" customFormat="1" x14ac:dyDescent="0.25">
      <c r="A7" s="55" t="s">
        <v>110</v>
      </c>
      <c r="B7" s="56">
        <v>92</v>
      </c>
      <c r="C7" s="57"/>
      <c r="D7" s="55"/>
      <c r="E7" s="58" t="s">
        <v>111</v>
      </c>
      <c r="F7" s="58" t="s">
        <v>20</v>
      </c>
      <c r="G7" s="59" t="s">
        <v>112</v>
      </c>
      <c r="H7" s="60">
        <v>0</v>
      </c>
      <c r="I7" s="113">
        <v>985.5</v>
      </c>
      <c r="J7" s="61">
        <v>0</v>
      </c>
      <c r="K7" s="60">
        <f t="shared" si="0"/>
        <v>985.5</v>
      </c>
      <c r="L7" s="62" t="s">
        <v>115</v>
      </c>
    </row>
    <row r="8" spans="1:15" s="63" customFormat="1" x14ac:dyDescent="0.25">
      <c r="A8" s="55" t="s">
        <v>113</v>
      </c>
      <c r="B8" s="56">
        <v>93</v>
      </c>
      <c r="C8" s="57"/>
      <c r="D8" s="55"/>
      <c r="E8" s="58" t="s">
        <v>111</v>
      </c>
      <c r="F8" s="58" t="s">
        <v>12</v>
      </c>
      <c r="G8" s="59"/>
      <c r="H8" s="60">
        <v>0</v>
      </c>
      <c r="I8" s="113">
        <v>1533</v>
      </c>
      <c r="J8" s="61">
        <v>0</v>
      </c>
      <c r="K8" s="60">
        <f t="shared" si="0"/>
        <v>1533</v>
      </c>
      <c r="L8" s="62" t="s">
        <v>115</v>
      </c>
    </row>
    <row r="9" spans="1:15" s="63" customFormat="1" x14ac:dyDescent="0.25">
      <c r="A9" s="55" t="s">
        <v>114</v>
      </c>
      <c r="B9" s="56">
        <v>90</v>
      </c>
      <c r="C9" s="57"/>
      <c r="D9" s="55"/>
      <c r="E9" s="58" t="s">
        <v>111</v>
      </c>
      <c r="F9" s="58" t="s">
        <v>14</v>
      </c>
      <c r="G9" s="59" t="s">
        <v>112</v>
      </c>
      <c r="H9" s="60">
        <v>0</v>
      </c>
      <c r="I9" s="113">
        <v>18474.36</v>
      </c>
      <c r="J9" s="61">
        <v>0</v>
      </c>
      <c r="K9" s="60">
        <f t="shared" si="0"/>
        <v>18474.36</v>
      </c>
      <c r="L9" s="62" t="s">
        <v>115</v>
      </c>
    </row>
    <row r="10" spans="1:15" s="63" customFormat="1" x14ac:dyDescent="0.25">
      <c r="A10" s="55" t="s">
        <v>116</v>
      </c>
      <c r="B10" s="56">
        <v>91</v>
      </c>
      <c r="C10" s="57"/>
      <c r="D10" s="55"/>
      <c r="E10" s="58" t="s">
        <v>111</v>
      </c>
      <c r="F10" s="58" t="s">
        <v>18</v>
      </c>
      <c r="G10" s="59" t="s">
        <v>117</v>
      </c>
      <c r="H10" s="60">
        <v>0</v>
      </c>
      <c r="I10" s="60">
        <v>0</v>
      </c>
      <c r="J10" s="60">
        <v>0</v>
      </c>
      <c r="K10" s="60">
        <f t="shared" si="0"/>
        <v>0</v>
      </c>
    </row>
    <row r="11" spans="1:15" s="63" customFormat="1" x14ac:dyDescent="0.25">
      <c r="A11" s="55" t="s">
        <v>118</v>
      </c>
      <c r="B11" s="56">
        <v>94</v>
      </c>
      <c r="C11" s="57"/>
      <c r="D11" s="55"/>
      <c r="E11" s="58" t="s">
        <v>111</v>
      </c>
      <c r="F11" s="58" t="s">
        <v>16</v>
      </c>
      <c r="G11" s="59"/>
      <c r="H11" s="60">
        <v>0</v>
      </c>
      <c r="I11" s="60">
        <v>0</v>
      </c>
      <c r="J11" s="60">
        <v>0</v>
      </c>
      <c r="K11" s="60">
        <f t="shared" si="0"/>
        <v>0</v>
      </c>
      <c r="L11" s="62"/>
    </row>
    <row r="12" spans="1:15" s="71" customFormat="1" x14ac:dyDescent="0.25">
      <c r="A12" s="64" t="s">
        <v>119</v>
      </c>
      <c r="B12" s="65">
        <v>88</v>
      </c>
      <c r="C12" s="66" t="s">
        <v>120</v>
      </c>
      <c r="D12" s="64" t="s">
        <v>121</v>
      </c>
      <c r="E12" s="64" t="s">
        <v>122</v>
      </c>
      <c r="F12" s="64" t="s">
        <v>42</v>
      </c>
      <c r="G12" s="67" t="s">
        <v>112</v>
      </c>
      <c r="H12" s="68">
        <v>9474.9</v>
      </c>
      <c r="I12" s="68">
        <v>9474.9</v>
      </c>
      <c r="J12" s="68">
        <v>2428.84</v>
      </c>
      <c r="K12" s="69">
        <f t="shared" si="0"/>
        <v>7046.0599999999995</v>
      </c>
      <c r="L12" s="70" t="s">
        <v>223</v>
      </c>
    </row>
    <row r="13" spans="1:15" s="71" customFormat="1" x14ac:dyDescent="0.25">
      <c r="A13" s="64" t="s">
        <v>124</v>
      </c>
      <c r="B13" s="65">
        <v>84</v>
      </c>
      <c r="C13" s="66" t="s">
        <v>120</v>
      </c>
      <c r="D13" s="64" t="s">
        <v>121</v>
      </c>
      <c r="E13" s="64" t="s">
        <v>122</v>
      </c>
      <c r="F13" s="64" t="s">
        <v>42</v>
      </c>
      <c r="G13" s="67" t="s">
        <v>112</v>
      </c>
      <c r="H13" s="68">
        <v>9474.9</v>
      </c>
      <c r="I13" s="68">
        <f>9474.9+1095</f>
        <v>10569.9</v>
      </c>
      <c r="J13" s="68">
        <v>2410.14</v>
      </c>
      <c r="K13" s="69">
        <f t="shared" si="0"/>
        <v>8159.76</v>
      </c>
      <c r="L13" s="70" t="s">
        <v>223</v>
      </c>
    </row>
    <row r="14" spans="1:15" s="71" customFormat="1" ht="15.75" customHeight="1" x14ac:dyDescent="0.25">
      <c r="A14" s="64" t="s">
        <v>125</v>
      </c>
      <c r="B14" s="65">
        <v>80</v>
      </c>
      <c r="C14" s="66" t="s">
        <v>126</v>
      </c>
      <c r="D14" s="64" t="s">
        <v>127</v>
      </c>
      <c r="E14" s="64" t="s">
        <v>128</v>
      </c>
      <c r="F14" s="64" t="s">
        <v>44</v>
      </c>
      <c r="G14" s="67" t="s">
        <v>112</v>
      </c>
      <c r="H14" s="68">
        <v>14011.1</v>
      </c>
      <c r="I14" s="68">
        <v>14571.54</v>
      </c>
      <c r="J14" s="68">
        <v>3953.43</v>
      </c>
      <c r="K14" s="69">
        <f t="shared" si="0"/>
        <v>10618.11</v>
      </c>
      <c r="L14" s="70" t="s">
        <v>223</v>
      </c>
    </row>
    <row r="15" spans="1:15" s="71" customFormat="1" ht="15.75" customHeight="1" x14ac:dyDescent="0.25">
      <c r="A15" s="64" t="s">
        <v>129</v>
      </c>
      <c r="B15" s="65">
        <v>54</v>
      </c>
      <c r="C15" s="66" t="s">
        <v>130</v>
      </c>
      <c r="D15" s="64" t="s">
        <v>53</v>
      </c>
      <c r="E15" s="64" t="s">
        <v>128</v>
      </c>
      <c r="F15" s="64" t="s">
        <v>46</v>
      </c>
      <c r="G15" s="67" t="s">
        <v>112</v>
      </c>
      <c r="H15" s="68">
        <v>9680.8799999999992</v>
      </c>
      <c r="I15" s="68">
        <v>13036.21</v>
      </c>
      <c r="J15" s="68">
        <v>3728.44</v>
      </c>
      <c r="K15" s="69">
        <f t="shared" si="0"/>
        <v>9307.7699999999986</v>
      </c>
      <c r="L15" s="70" t="s">
        <v>224</v>
      </c>
    </row>
    <row r="16" spans="1:15" s="71" customFormat="1" x14ac:dyDescent="0.25">
      <c r="A16" s="64" t="s">
        <v>132</v>
      </c>
      <c r="B16" s="65">
        <v>4</v>
      </c>
      <c r="C16" s="66" t="s">
        <v>133</v>
      </c>
      <c r="D16" s="64" t="s">
        <v>127</v>
      </c>
      <c r="E16" s="64" t="s">
        <v>122</v>
      </c>
      <c r="F16" s="64" t="s">
        <v>44</v>
      </c>
      <c r="G16" s="67" t="s">
        <v>112</v>
      </c>
      <c r="H16" s="68">
        <v>16500.2</v>
      </c>
      <c r="I16" s="68">
        <v>17820.22</v>
      </c>
      <c r="J16" s="68">
        <v>4774.63</v>
      </c>
      <c r="K16" s="69">
        <f t="shared" si="0"/>
        <v>13045.59</v>
      </c>
      <c r="L16" s="70" t="s">
        <v>223</v>
      </c>
      <c r="O16" s="109"/>
    </row>
    <row r="17" spans="1:15" s="71" customFormat="1" x14ac:dyDescent="0.25">
      <c r="A17" s="64" t="s">
        <v>134</v>
      </c>
      <c r="B17" s="65">
        <v>85</v>
      </c>
      <c r="C17" s="66" t="s">
        <v>120</v>
      </c>
      <c r="D17" s="64" t="s">
        <v>121</v>
      </c>
      <c r="E17" s="64" t="s">
        <v>122</v>
      </c>
      <c r="F17" s="64" t="s">
        <v>48</v>
      </c>
      <c r="G17" s="67" t="s">
        <v>112</v>
      </c>
      <c r="H17" s="68">
        <v>9474.9</v>
      </c>
      <c r="I17" s="72">
        <f>9957.21+1314</f>
        <v>11271.21</v>
      </c>
      <c r="J17" s="68">
        <v>2435.5500000000002</v>
      </c>
      <c r="K17" s="69">
        <f t="shared" si="0"/>
        <v>8835.66</v>
      </c>
      <c r="L17" s="70" t="s">
        <v>225</v>
      </c>
      <c r="O17" s="109"/>
    </row>
    <row r="18" spans="1:15" s="71" customFormat="1" ht="15.75" customHeight="1" x14ac:dyDescent="0.25">
      <c r="A18" s="64" t="s">
        <v>136</v>
      </c>
      <c r="B18" s="65">
        <v>75</v>
      </c>
      <c r="C18" s="66" t="s">
        <v>130</v>
      </c>
      <c r="D18" s="64" t="s">
        <v>53</v>
      </c>
      <c r="E18" s="64" t="s">
        <v>128</v>
      </c>
      <c r="F18" s="64" t="s">
        <v>42</v>
      </c>
      <c r="G18" s="67" t="s">
        <v>112</v>
      </c>
      <c r="H18" s="68">
        <v>9680.8799999999992</v>
      </c>
      <c r="I18" s="68">
        <v>12537.16</v>
      </c>
      <c r="J18" s="68">
        <v>3123.28</v>
      </c>
      <c r="K18" s="69">
        <f t="shared" si="0"/>
        <v>9413.8799999999992</v>
      </c>
      <c r="L18" s="70" t="s">
        <v>226</v>
      </c>
    </row>
    <row r="19" spans="1:15" s="71" customFormat="1" x14ac:dyDescent="0.25">
      <c r="A19" s="64" t="s">
        <v>138</v>
      </c>
      <c r="B19" s="65">
        <v>57</v>
      </c>
      <c r="C19" s="66" t="s">
        <v>139</v>
      </c>
      <c r="D19" s="64" t="s">
        <v>127</v>
      </c>
      <c r="E19" s="64" t="s">
        <v>122</v>
      </c>
      <c r="F19" s="73" t="s">
        <v>64</v>
      </c>
      <c r="G19" s="67" t="s">
        <v>112</v>
      </c>
      <c r="H19" s="68">
        <v>13266.04</v>
      </c>
      <c r="I19" s="68">
        <v>15226.96</v>
      </c>
      <c r="J19" s="68">
        <v>3546.49</v>
      </c>
      <c r="K19" s="69">
        <f t="shared" si="0"/>
        <v>11680.47</v>
      </c>
      <c r="L19" s="70" t="s">
        <v>140</v>
      </c>
    </row>
    <row r="20" spans="1:15" s="71" customFormat="1" x14ac:dyDescent="0.25">
      <c r="A20" s="64" t="s">
        <v>141</v>
      </c>
      <c r="B20" s="65">
        <v>58</v>
      </c>
      <c r="C20" s="66" t="s">
        <v>142</v>
      </c>
      <c r="D20" s="64" t="s">
        <v>53</v>
      </c>
      <c r="E20" s="64" t="s">
        <v>143</v>
      </c>
      <c r="F20" s="73" t="s">
        <v>64</v>
      </c>
      <c r="G20" s="67" t="s">
        <v>112</v>
      </c>
      <c r="H20" s="68">
        <v>7575.14</v>
      </c>
      <c r="I20" s="68">
        <v>12538.33</v>
      </c>
      <c r="J20" s="68">
        <v>9401.67</v>
      </c>
      <c r="K20" s="69">
        <f t="shared" si="0"/>
        <v>3136.66</v>
      </c>
      <c r="L20" s="70" t="s">
        <v>227</v>
      </c>
    </row>
    <row r="21" spans="1:15" s="71" customFormat="1" x14ac:dyDescent="0.25">
      <c r="A21" s="64" t="s">
        <v>145</v>
      </c>
      <c r="B21" s="65">
        <v>14</v>
      </c>
      <c r="C21" s="66" t="s">
        <v>133</v>
      </c>
      <c r="D21" s="64" t="s">
        <v>127</v>
      </c>
      <c r="E21" s="64" t="s">
        <v>128</v>
      </c>
      <c r="F21" s="64" t="s">
        <v>36</v>
      </c>
      <c r="G21" s="67" t="s">
        <v>112</v>
      </c>
      <c r="H21" s="68">
        <v>16500.2</v>
      </c>
      <c r="I21" s="68">
        <v>19470.240000000002</v>
      </c>
      <c r="J21" s="68">
        <v>5173.5200000000004</v>
      </c>
      <c r="K21" s="69">
        <f t="shared" si="0"/>
        <v>14296.720000000001</v>
      </c>
      <c r="L21" s="70" t="s">
        <v>228</v>
      </c>
    </row>
    <row r="22" spans="1:15" s="71" customFormat="1" x14ac:dyDescent="0.25">
      <c r="A22" s="64" t="s">
        <v>147</v>
      </c>
      <c r="B22" s="65">
        <v>44</v>
      </c>
      <c r="C22" s="66" t="s">
        <v>148</v>
      </c>
      <c r="D22" s="64" t="s">
        <v>127</v>
      </c>
      <c r="E22" s="64" t="s">
        <v>122</v>
      </c>
      <c r="F22" s="64" t="s">
        <v>40</v>
      </c>
      <c r="G22" s="67" t="s">
        <v>112</v>
      </c>
      <c r="H22" s="68">
        <v>12564.1</v>
      </c>
      <c r="I22" s="68">
        <v>13066.66</v>
      </c>
      <c r="J22" s="68">
        <v>3819.21</v>
      </c>
      <c r="K22" s="69">
        <f t="shared" si="0"/>
        <v>9247.4500000000007</v>
      </c>
      <c r="L22" s="70" t="s">
        <v>223</v>
      </c>
    </row>
    <row r="23" spans="1:15" s="71" customFormat="1" x14ac:dyDescent="0.25">
      <c r="A23" s="64" t="s">
        <v>149</v>
      </c>
      <c r="B23" s="65">
        <v>61</v>
      </c>
      <c r="C23" s="66" t="s">
        <v>150</v>
      </c>
      <c r="D23" s="64" t="s">
        <v>121</v>
      </c>
      <c r="E23" s="64" t="s">
        <v>122</v>
      </c>
      <c r="F23" s="64" t="s">
        <v>34</v>
      </c>
      <c r="G23" s="67" t="s">
        <v>112</v>
      </c>
      <c r="H23" s="68">
        <v>12439.9</v>
      </c>
      <c r="I23" s="68">
        <v>12937.5</v>
      </c>
      <c r="J23" s="68">
        <v>3531.39</v>
      </c>
      <c r="K23" s="69">
        <f t="shared" si="0"/>
        <v>9406.11</v>
      </c>
      <c r="L23" s="70" t="s">
        <v>223</v>
      </c>
    </row>
    <row r="24" spans="1:15" s="71" customFormat="1" x14ac:dyDescent="0.25">
      <c r="A24" s="64" t="s">
        <v>151</v>
      </c>
      <c r="B24" s="65">
        <v>13</v>
      </c>
      <c r="C24" s="66" t="s">
        <v>133</v>
      </c>
      <c r="D24" s="64" t="s">
        <v>127</v>
      </c>
      <c r="E24" s="64" t="s">
        <v>128</v>
      </c>
      <c r="F24" s="64" t="s">
        <v>32</v>
      </c>
      <c r="G24" s="67" t="s">
        <v>112</v>
      </c>
      <c r="H24" s="68">
        <v>16500.2</v>
      </c>
      <c r="I24" s="68">
        <v>19470.240000000002</v>
      </c>
      <c r="J24" s="68">
        <v>5776.09</v>
      </c>
      <c r="K24" s="69">
        <f t="shared" si="0"/>
        <v>13694.150000000001</v>
      </c>
      <c r="L24" s="70" t="s">
        <v>228</v>
      </c>
    </row>
    <row r="25" spans="1:15" s="71" customFormat="1" x14ac:dyDescent="0.25">
      <c r="A25" s="64" t="s">
        <v>152</v>
      </c>
      <c r="B25" s="65">
        <v>73</v>
      </c>
      <c r="C25" s="66" t="s">
        <v>126</v>
      </c>
      <c r="D25" s="64" t="s">
        <v>127</v>
      </c>
      <c r="E25" s="64" t="s">
        <v>153</v>
      </c>
      <c r="F25" s="64" t="s">
        <v>40</v>
      </c>
      <c r="G25" s="67" t="s">
        <v>112</v>
      </c>
      <c r="H25" s="68">
        <v>14011.1</v>
      </c>
      <c r="I25" s="68">
        <v>16602.259999999998</v>
      </c>
      <c r="J25" s="68">
        <v>4273.25</v>
      </c>
      <c r="K25" s="69">
        <f t="shared" si="0"/>
        <v>12329.009999999998</v>
      </c>
      <c r="L25" s="70" t="s">
        <v>229</v>
      </c>
    </row>
    <row r="26" spans="1:15" s="71" customFormat="1" x14ac:dyDescent="0.25">
      <c r="A26" s="64" t="s">
        <v>155</v>
      </c>
      <c r="B26" s="65">
        <v>89</v>
      </c>
      <c r="C26" s="66" t="s">
        <v>120</v>
      </c>
      <c r="D26" s="64" t="s">
        <v>121</v>
      </c>
      <c r="E26" s="64" t="s">
        <v>122</v>
      </c>
      <c r="F26" s="64" t="s">
        <v>32</v>
      </c>
      <c r="G26" s="67" t="s">
        <v>112</v>
      </c>
      <c r="H26" s="68">
        <v>9474.9</v>
      </c>
      <c r="I26" s="68">
        <v>10422.39</v>
      </c>
      <c r="J26" s="68">
        <v>2670.7</v>
      </c>
      <c r="K26" s="69">
        <f t="shared" si="0"/>
        <v>7751.69</v>
      </c>
      <c r="L26" s="70" t="s">
        <v>228</v>
      </c>
    </row>
    <row r="27" spans="1:15" s="71" customFormat="1" x14ac:dyDescent="0.25">
      <c r="A27" s="64" t="s">
        <v>157</v>
      </c>
      <c r="B27" s="65">
        <v>60</v>
      </c>
      <c r="C27" s="66" t="s">
        <v>158</v>
      </c>
      <c r="D27" s="64" t="s">
        <v>92</v>
      </c>
      <c r="E27" s="64" t="s">
        <v>128</v>
      </c>
      <c r="F27" s="64" t="s">
        <v>16</v>
      </c>
      <c r="G27" s="67" t="s">
        <v>117</v>
      </c>
      <c r="H27" s="68">
        <v>18962.259999999998</v>
      </c>
      <c r="I27" s="68">
        <v>23063.63</v>
      </c>
      <c r="J27" s="68">
        <v>5644.94</v>
      </c>
      <c r="K27" s="69">
        <f t="shared" si="0"/>
        <v>17418.690000000002</v>
      </c>
      <c r="L27" s="70" t="s">
        <v>230</v>
      </c>
    </row>
    <row r="28" spans="1:15" s="71" customFormat="1" ht="15.75" customHeight="1" x14ac:dyDescent="0.25">
      <c r="A28" s="64" t="s">
        <v>160</v>
      </c>
      <c r="B28" s="65">
        <v>81</v>
      </c>
      <c r="C28" s="66" t="s">
        <v>161</v>
      </c>
      <c r="D28" s="64" t="s">
        <v>92</v>
      </c>
      <c r="E28" s="64" t="s">
        <v>162</v>
      </c>
      <c r="F28" s="64" t="s">
        <v>16</v>
      </c>
      <c r="G28" s="67" t="s">
        <v>117</v>
      </c>
      <c r="H28" s="68">
        <v>15766.65</v>
      </c>
      <c r="I28" s="68">
        <v>17658.64</v>
      </c>
      <c r="J28" s="68">
        <v>4650.05</v>
      </c>
      <c r="K28" s="69">
        <f t="shared" si="0"/>
        <v>13008.59</v>
      </c>
      <c r="L28" s="70" t="s">
        <v>284</v>
      </c>
    </row>
    <row r="29" spans="1:15" s="71" customFormat="1" ht="15.75" customHeight="1" x14ac:dyDescent="0.25">
      <c r="A29" s="64" t="s">
        <v>164</v>
      </c>
      <c r="B29" s="65">
        <v>76</v>
      </c>
      <c r="C29" s="66" t="s">
        <v>130</v>
      </c>
      <c r="D29" s="64" t="s">
        <v>53</v>
      </c>
      <c r="E29" s="64" t="s">
        <v>128</v>
      </c>
      <c r="F29" s="64" t="s">
        <v>48</v>
      </c>
      <c r="G29" s="67" t="s">
        <v>112</v>
      </c>
      <c r="H29" s="68">
        <v>9680.8799999999992</v>
      </c>
      <c r="I29" s="68">
        <v>13036.21</v>
      </c>
      <c r="J29" s="68">
        <v>5325.63</v>
      </c>
      <c r="K29" s="69">
        <f t="shared" si="0"/>
        <v>7710.579999999999</v>
      </c>
      <c r="L29" s="70" t="s">
        <v>231</v>
      </c>
    </row>
    <row r="30" spans="1:15" s="71" customFormat="1" x14ac:dyDescent="0.25">
      <c r="A30" s="64" t="s">
        <v>166</v>
      </c>
      <c r="B30" s="65">
        <v>8</v>
      </c>
      <c r="C30" s="66" t="s">
        <v>167</v>
      </c>
      <c r="D30" s="64" t="s">
        <v>127</v>
      </c>
      <c r="E30" s="64" t="s">
        <v>128</v>
      </c>
      <c r="F30" s="64" t="s">
        <v>30</v>
      </c>
      <c r="G30" s="67" t="s">
        <v>112</v>
      </c>
      <c r="H30" s="68">
        <v>15622.31</v>
      </c>
      <c r="I30" s="68">
        <v>18434.32</v>
      </c>
      <c r="J30" s="68">
        <v>5193.59</v>
      </c>
      <c r="K30" s="69">
        <f t="shared" si="0"/>
        <v>13240.73</v>
      </c>
      <c r="L30" s="70" t="s">
        <v>228</v>
      </c>
    </row>
    <row r="31" spans="1:15" s="71" customFormat="1" x14ac:dyDescent="0.25">
      <c r="A31" s="64" t="s">
        <v>168</v>
      </c>
      <c r="B31" s="65">
        <v>79</v>
      </c>
      <c r="C31" s="66" t="s">
        <v>169</v>
      </c>
      <c r="D31" s="64" t="s">
        <v>53</v>
      </c>
      <c r="E31" s="64" t="s">
        <v>143</v>
      </c>
      <c r="F31" s="64" t="s">
        <v>30</v>
      </c>
      <c r="G31" s="67" t="s">
        <v>112</v>
      </c>
      <c r="H31" s="68">
        <v>8055.68</v>
      </c>
      <c r="I31" s="68">
        <v>9683.48</v>
      </c>
      <c r="J31" s="68">
        <v>2467.5</v>
      </c>
      <c r="K31" s="69">
        <f t="shared" si="0"/>
        <v>7215.98</v>
      </c>
      <c r="L31" s="70" t="s">
        <v>232</v>
      </c>
    </row>
    <row r="32" spans="1:15" s="71" customFormat="1" x14ac:dyDescent="0.25">
      <c r="A32" s="64" t="s">
        <v>171</v>
      </c>
      <c r="B32" s="65">
        <v>49</v>
      </c>
      <c r="C32" s="66" t="s">
        <v>169</v>
      </c>
      <c r="D32" s="64" t="s">
        <v>53</v>
      </c>
      <c r="E32" s="64" t="s">
        <v>143</v>
      </c>
      <c r="F32" s="64" t="s">
        <v>40</v>
      </c>
      <c r="G32" s="67" t="s">
        <v>112</v>
      </c>
      <c r="H32" s="68">
        <v>8055.68</v>
      </c>
      <c r="I32" s="68">
        <v>8877.91</v>
      </c>
      <c r="J32" s="68">
        <v>2260.63</v>
      </c>
      <c r="K32" s="69">
        <f t="shared" si="0"/>
        <v>6617.28</v>
      </c>
      <c r="L32" s="70" t="s">
        <v>233</v>
      </c>
    </row>
    <row r="33" spans="1:12" s="71" customFormat="1" x14ac:dyDescent="0.25">
      <c r="A33" s="64" t="s">
        <v>173</v>
      </c>
      <c r="B33" s="65">
        <v>86</v>
      </c>
      <c r="C33" s="66" t="s">
        <v>174</v>
      </c>
      <c r="D33" s="64" t="s">
        <v>121</v>
      </c>
      <c r="E33" s="64" t="s">
        <v>122</v>
      </c>
      <c r="F33" s="64" t="s">
        <v>36</v>
      </c>
      <c r="G33" s="67" t="s">
        <v>112</v>
      </c>
      <c r="H33" s="68">
        <v>8973.5300000000007</v>
      </c>
      <c r="I33" s="68">
        <v>8973.5300000000007</v>
      </c>
      <c r="J33" s="68">
        <v>2400.67</v>
      </c>
      <c r="K33" s="69">
        <f t="shared" si="0"/>
        <v>6572.8600000000006</v>
      </c>
      <c r="L33" s="70" t="s">
        <v>223</v>
      </c>
    </row>
    <row r="34" spans="1:12" s="71" customFormat="1" x14ac:dyDescent="0.25">
      <c r="A34" s="64" t="s">
        <v>175</v>
      </c>
      <c r="B34" s="65">
        <v>65</v>
      </c>
      <c r="C34" s="66" t="s">
        <v>176</v>
      </c>
      <c r="D34" s="64" t="s">
        <v>121</v>
      </c>
      <c r="E34" s="64" t="s">
        <v>122</v>
      </c>
      <c r="F34" s="64" t="s">
        <v>32</v>
      </c>
      <c r="G34" s="67" t="s">
        <v>112</v>
      </c>
      <c r="H34" s="68">
        <v>12439.9</v>
      </c>
      <c r="I34" s="68">
        <v>12937.5</v>
      </c>
      <c r="J34" s="68">
        <v>3351.74</v>
      </c>
      <c r="K34" s="69">
        <f t="shared" si="0"/>
        <v>9585.76</v>
      </c>
      <c r="L34" s="70" t="s">
        <v>223</v>
      </c>
    </row>
    <row r="35" spans="1:12" s="71" customFormat="1" x14ac:dyDescent="0.25">
      <c r="A35" s="64" t="s">
        <v>177</v>
      </c>
      <c r="B35" s="65">
        <v>35</v>
      </c>
      <c r="C35" s="66" t="s">
        <v>178</v>
      </c>
      <c r="D35" s="64" t="s">
        <v>53</v>
      </c>
      <c r="E35" s="64" t="s">
        <v>128</v>
      </c>
      <c r="F35" s="64" t="s">
        <v>34</v>
      </c>
      <c r="G35" s="67" t="s">
        <v>112</v>
      </c>
      <c r="H35" s="68">
        <v>9103.19</v>
      </c>
      <c r="I35" s="68">
        <v>12501.45</v>
      </c>
      <c r="J35" s="68">
        <v>5281.19</v>
      </c>
      <c r="K35" s="69">
        <f t="shared" si="0"/>
        <v>7220.2600000000011</v>
      </c>
      <c r="L35" s="70" t="s">
        <v>179</v>
      </c>
    </row>
    <row r="36" spans="1:12" s="71" customFormat="1" x14ac:dyDescent="0.25">
      <c r="A36" s="64" t="s">
        <v>180</v>
      </c>
      <c r="B36" s="65">
        <v>56</v>
      </c>
      <c r="C36" s="66" t="s">
        <v>133</v>
      </c>
      <c r="D36" s="64" t="s">
        <v>127</v>
      </c>
      <c r="E36" s="64" t="s">
        <v>128</v>
      </c>
      <c r="F36" s="64" t="s">
        <v>40</v>
      </c>
      <c r="G36" s="67" t="s">
        <v>112</v>
      </c>
      <c r="H36" s="68">
        <v>16500.2</v>
      </c>
      <c r="I36" s="68">
        <v>19517.830000000002</v>
      </c>
      <c r="J36" s="68">
        <v>11577.44</v>
      </c>
      <c r="K36" s="69">
        <f t="shared" si="0"/>
        <v>7940.3900000000012</v>
      </c>
      <c r="L36" s="70" t="s">
        <v>234</v>
      </c>
    </row>
    <row r="37" spans="1:12" s="71" customFormat="1" x14ac:dyDescent="0.25">
      <c r="A37" s="64" t="s">
        <v>182</v>
      </c>
      <c r="B37" s="65">
        <v>34</v>
      </c>
      <c r="C37" s="66" t="s">
        <v>130</v>
      </c>
      <c r="D37" s="64" t="s">
        <v>53</v>
      </c>
      <c r="E37" s="64" t="s">
        <v>143</v>
      </c>
      <c r="F37" s="64" t="s">
        <v>34</v>
      </c>
      <c r="G37" s="67" t="s">
        <v>112</v>
      </c>
      <c r="H37" s="68">
        <v>9680.8799999999992</v>
      </c>
      <c r="I37" s="68">
        <v>10761.73</v>
      </c>
      <c r="J37" s="68">
        <v>2764.02</v>
      </c>
      <c r="K37" s="69">
        <f t="shared" si="0"/>
        <v>7997.7099999999991</v>
      </c>
      <c r="L37" s="70" t="s">
        <v>233</v>
      </c>
    </row>
    <row r="38" spans="1:12" s="71" customFormat="1" x14ac:dyDescent="0.25">
      <c r="A38" s="64" t="s">
        <v>183</v>
      </c>
      <c r="B38" s="65">
        <v>69</v>
      </c>
      <c r="C38" s="66" t="s">
        <v>139</v>
      </c>
      <c r="D38" s="64" t="s">
        <v>127</v>
      </c>
      <c r="E38" s="64" t="s">
        <v>184</v>
      </c>
      <c r="F38" s="64" t="s">
        <v>10</v>
      </c>
      <c r="G38" s="67" t="s">
        <v>185</v>
      </c>
      <c r="H38" s="68">
        <v>13266.04</v>
      </c>
      <c r="I38" s="68">
        <v>15388.14</v>
      </c>
      <c r="J38" s="68">
        <v>3494.36</v>
      </c>
      <c r="K38" s="69">
        <f t="shared" si="0"/>
        <v>11893.779999999999</v>
      </c>
      <c r="L38" s="70" t="s">
        <v>140</v>
      </c>
    </row>
    <row r="39" spans="1:12" s="71" customFormat="1" x14ac:dyDescent="0.25">
      <c r="A39" s="64" t="s">
        <v>187</v>
      </c>
      <c r="B39" s="65">
        <v>51</v>
      </c>
      <c r="C39" s="66" t="s">
        <v>169</v>
      </c>
      <c r="D39" s="64" t="s">
        <v>53</v>
      </c>
      <c r="E39" s="64" t="s">
        <v>143</v>
      </c>
      <c r="F39" s="64" t="s">
        <v>36</v>
      </c>
      <c r="G39" s="67" t="s">
        <v>112</v>
      </c>
      <c r="H39" s="68">
        <v>8055.68</v>
      </c>
      <c r="I39" s="68">
        <v>8877.91</v>
      </c>
      <c r="J39" s="68">
        <v>2344.98</v>
      </c>
      <c r="K39" s="69">
        <f t="shared" si="0"/>
        <v>6532.93</v>
      </c>
      <c r="L39" s="70" t="s">
        <v>233</v>
      </c>
    </row>
    <row r="40" spans="1:12" s="71" customFormat="1" x14ac:dyDescent="0.25">
      <c r="A40" s="64" t="s">
        <v>188</v>
      </c>
      <c r="B40" s="65">
        <v>70</v>
      </c>
      <c r="C40" s="66" t="s">
        <v>148</v>
      </c>
      <c r="D40" s="64" t="s">
        <v>127</v>
      </c>
      <c r="E40" s="64" t="s">
        <v>184</v>
      </c>
      <c r="F40" s="64" t="s">
        <v>10</v>
      </c>
      <c r="G40" s="67" t="s">
        <v>185</v>
      </c>
      <c r="H40" s="68">
        <v>12564.1</v>
      </c>
      <c r="I40" s="68">
        <v>13066.66</v>
      </c>
      <c r="J40" s="68">
        <v>5135.9799999999996</v>
      </c>
      <c r="K40" s="69">
        <f t="shared" si="0"/>
        <v>7930.68</v>
      </c>
      <c r="L40" s="70" t="s">
        <v>223</v>
      </c>
    </row>
    <row r="41" spans="1:12" s="71" customFormat="1" x14ac:dyDescent="0.25">
      <c r="A41" s="76" t="s">
        <v>235</v>
      </c>
      <c r="B41" s="77">
        <v>1035</v>
      </c>
      <c r="C41" s="78"/>
      <c r="D41" s="76" t="s">
        <v>194</v>
      </c>
      <c r="E41" s="76" t="s">
        <v>191</v>
      </c>
      <c r="F41" s="76" t="s">
        <v>30</v>
      </c>
      <c r="G41" s="79" t="s">
        <v>117</v>
      </c>
      <c r="H41" s="80">
        <v>1066.3399999999999</v>
      </c>
      <c r="I41" s="80">
        <v>1246.3399999999999</v>
      </c>
      <c r="J41" s="80">
        <v>180</v>
      </c>
      <c r="K41" s="81">
        <f t="shared" si="0"/>
        <v>1066.3399999999999</v>
      </c>
      <c r="L41" s="82" t="s">
        <v>192</v>
      </c>
    </row>
    <row r="42" spans="1:12" s="83" customFormat="1" x14ac:dyDescent="0.25">
      <c r="A42" s="76" t="s">
        <v>189</v>
      </c>
      <c r="B42" s="77">
        <v>1125</v>
      </c>
      <c r="C42" s="78"/>
      <c r="D42" s="76" t="s">
        <v>190</v>
      </c>
      <c r="E42" s="76" t="s">
        <v>191</v>
      </c>
      <c r="F42" s="76" t="s">
        <v>40</v>
      </c>
      <c r="G42" s="79" t="s">
        <v>117</v>
      </c>
      <c r="H42" s="80">
        <v>1200</v>
      </c>
      <c r="I42" s="80">
        <v>1683</v>
      </c>
      <c r="J42" s="80">
        <v>0</v>
      </c>
      <c r="K42" s="81">
        <f t="shared" si="0"/>
        <v>1683</v>
      </c>
      <c r="L42" s="82" t="s">
        <v>192</v>
      </c>
    </row>
    <row r="43" spans="1:12" s="83" customFormat="1" x14ac:dyDescent="0.25">
      <c r="A43" s="76" t="s">
        <v>193</v>
      </c>
      <c r="B43" s="77">
        <v>1025</v>
      </c>
      <c r="C43" s="78"/>
      <c r="D43" s="76" t="s">
        <v>194</v>
      </c>
      <c r="E43" s="76" t="s">
        <v>191</v>
      </c>
      <c r="F43" s="76" t="s">
        <v>38</v>
      </c>
      <c r="G43" s="79" t="s">
        <v>117</v>
      </c>
      <c r="H43" s="84">
        <v>1200</v>
      </c>
      <c r="I43" s="80">
        <v>1452</v>
      </c>
      <c r="J43" s="81">
        <v>0</v>
      </c>
      <c r="K43" s="81">
        <f t="shared" si="0"/>
        <v>1452</v>
      </c>
      <c r="L43" s="82" t="s">
        <v>192</v>
      </c>
    </row>
    <row r="44" spans="1:12" s="83" customFormat="1" x14ac:dyDescent="0.25">
      <c r="A44" s="76" t="s">
        <v>195</v>
      </c>
      <c r="B44" s="77">
        <v>1032</v>
      </c>
      <c r="C44" s="78"/>
      <c r="D44" s="76" t="s">
        <v>194</v>
      </c>
      <c r="E44" s="76" t="s">
        <v>191</v>
      </c>
      <c r="F44" s="76" t="s">
        <v>30</v>
      </c>
      <c r="G44" s="79" t="s">
        <v>117</v>
      </c>
      <c r="H44" s="84">
        <v>1200</v>
      </c>
      <c r="I44" s="80">
        <v>1452</v>
      </c>
      <c r="J44" s="81">
        <v>0</v>
      </c>
      <c r="K44" s="81">
        <f t="shared" si="0"/>
        <v>1452</v>
      </c>
      <c r="L44" s="82" t="s">
        <v>192</v>
      </c>
    </row>
    <row r="45" spans="1:12" s="83" customFormat="1" x14ac:dyDescent="0.25">
      <c r="A45" s="76" t="s">
        <v>236</v>
      </c>
      <c r="B45" s="77">
        <v>1034</v>
      </c>
      <c r="C45" s="78"/>
      <c r="D45" s="76" t="s">
        <v>194</v>
      </c>
      <c r="E45" s="76" t="s">
        <v>191</v>
      </c>
      <c r="F45" s="76" t="s">
        <v>30</v>
      </c>
      <c r="G45" s="79" t="s">
        <v>117</v>
      </c>
      <c r="H45" s="84">
        <v>1066.3399999999999</v>
      </c>
      <c r="I45" s="80">
        <v>1246.3399999999999</v>
      </c>
      <c r="J45" s="81">
        <v>180</v>
      </c>
      <c r="K45" s="81">
        <f t="shared" si="0"/>
        <v>1066.3399999999999</v>
      </c>
      <c r="L45" s="82" t="s">
        <v>192</v>
      </c>
    </row>
    <row r="46" spans="1:12" s="83" customFormat="1" x14ac:dyDescent="0.25">
      <c r="A46" s="76" t="s">
        <v>196</v>
      </c>
      <c r="B46" s="77">
        <v>1033</v>
      </c>
      <c r="C46" s="78"/>
      <c r="D46" s="76" t="s">
        <v>194</v>
      </c>
      <c r="E46" s="76" t="s">
        <v>191</v>
      </c>
      <c r="F46" s="76" t="s">
        <v>42</v>
      </c>
      <c r="G46" s="79" t="s">
        <v>117</v>
      </c>
      <c r="H46" s="84">
        <v>1200</v>
      </c>
      <c r="I46" s="80">
        <v>1452</v>
      </c>
      <c r="J46" s="81">
        <v>0</v>
      </c>
      <c r="K46" s="81">
        <f t="shared" si="0"/>
        <v>1452</v>
      </c>
      <c r="L46" s="82" t="s">
        <v>192</v>
      </c>
    </row>
    <row r="47" spans="1:12" s="83" customFormat="1" x14ac:dyDescent="0.25">
      <c r="A47" s="76" t="s">
        <v>197</v>
      </c>
      <c r="B47" s="77">
        <v>1024</v>
      </c>
      <c r="C47" s="78"/>
      <c r="D47" s="76" t="s">
        <v>194</v>
      </c>
      <c r="E47" s="76" t="s">
        <v>191</v>
      </c>
      <c r="F47" s="76" t="s">
        <v>44</v>
      </c>
      <c r="G47" s="79" t="s">
        <v>117</v>
      </c>
      <c r="H47" s="84">
        <v>1200</v>
      </c>
      <c r="I47" s="80">
        <v>1452</v>
      </c>
      <c r="J47" s="81">
        <v>0</v>
      </c>
      <c r="K47" s="81">
        <f t="shared" si="0"/>
        <v>1452</v>
      </c>
      <c r="L47" s="82" t="s">
        <v>192</v>
      </c>
    </row>
    <row r="48" spans="1:12" s="83" customFormat="1" x14ac:dyDescent="0.25">
      <c r="A48" s="76" t="s">
        <v>198</v>
      </c>
      <c r="B48" s="77">
        <v>1023</v>
      </c>
      <c r="C48" s="78"/>
      <c r="D48" s="76" t="s">
        <v>190</v>
      </c>
      <c r="E48" s="76" t="s">
        <v>191</v>
      </c>
      <c r="F48" s="76" t="s">
        <v>40</v>
      </c>
      <c r="G48" s="79" t="s">
        <v>117</v>
      </c>
      <c r="H48" s="85">
        <v>1200</v>
      </c>
      <c r="I48" s="80">
        <v>1452</v>
      </c>
      <c r="J48" s="81">
        <v>0</v>
      </c>
      <c r="K48" s="81">
        <f t="shared" si="0"/>
        <v>1452</v>
      </c>
      <c r="L48" s="82" t="s">
        <v>192</v>
      </c>
    </row>
    <row r="49" spans="1:12" s="83" customFormat="1" x14ac:dyDescent="0.25">
      <c r="A49" s="76" t="s">
        <v>201</v>
      </c>
      <c r="B49" s="77">
        <v>1022</v>
      </c>
      <c r="C49" s="78"/>
      <c r="D49" s="76" t="s">
        <v>194</v>
      </c>
      <c r="E49" s="76" t="s">
        <v>191</v>
      </c>
      <c r="F49" s="76" t="s">
        <v>14</v>
      </c>
      <c r="G49" s="79" t="s">
        <v>117</v>
      </c>
      <c r="H49" s="85">
        <v>1200</v>
      </c>
      <c r="I49" s="80">
        <v>1452</v>
      </c>
      <c r="J49" s="81">
        <v>0</v>
      </c>
      <c r="K49" s="81">
        <f t="shared" si="0"/>
        <v>1452</v>
      </c>
      <c r="L49" s="82" t="s">
        <v>192</v>
      </c>
    </row>
    <row r="50" spans="1:12" s="83" customFormat="1" x14ac:dyDescent="0.25">
      <c r="A50" s="76" t="s">
        <v>202</v>
      </c>
      <c r="B50" s="77">
        <v>1031</v>
      </c>
      <c r="C50" s="78"/>
      <c r="D50" s="76" t="s">
        <v>194</v>
      </c>
      <c r="E50" s="76" t="s">
        <v>191</v>
      </c>
      <c r="F50" s="76" t="s">
        <v>32</v>
      </c>
      <c r="G50" s="79" t="s">
        <v>117</v>
      </c>
      <c r="H50" s="85">
        <v>1200</v>
      </c>
      <c r="I50" s="80">
        <v>1356</v>
      </c>
      <c r="J50" s="81">
        <v>0</v>
      </c>
      <c r="K50" s="81">
        <f t="shared" si="0"/>
        <v>1356</v>
      </c>
      <c r="L50" s="82" t="s">
        <v>192</v>
      </c>
    </row>
    <row r="51" spans="1:12" s="83" customFormat="1" x14ac:dyDescent="0.25">
      <c r="A51" s="76" t="s">
        <v>203</v>
      </c>
      <c r="B51" s="77">
        <v>1027</v>
      </c>
      <c r="C51" s="78"/>
      <c r="D51" s="76" t="s">
        <v>194</v>
      </c>
      <c r="E51" s="76" t="s">
        <v>191</v>
      </c>
      <c r="F51" s="76" t="s">
        <v>14</v>
      </c>
      <c r="G51" s="79" t="s">
        <v>117</v>
      </c>
      <c r="H51" s="84">
        <v>1200</v>
      </c>
      <c r="I51" s="84">
        <v>1452</v>
      </c>
      <c r="J51" s="81">
        <v>0</v>
      </c>
      <c r="K51" s="81">
        <f t="shared" si="0"/>
        <v>1452</v>
      </c>
      <c r="L51" s="82" t="s">
        <v>192</v>
      </c>
    </row>
    <row r="52" spans="1:12" s="83" customFormat="1" x14ac:dyDescent="0.25">
      <c r="A52" s="76" t="s">
        <v>204</v>
      </c>
      <c r="B52" s="77">
        <v>1028</v>
      </c>
      <c r="C52" s="78"/>
      <c r="D52" s="76" t="s">
        <v>194</v>
      </c>
      <c r="E52" s="76" t="s">
        <v>191</v>
      </c>
      <c r="F52" s="76" t="s">
        <v>42</v>
      </c>
      <c r="G52" s="79" t="s">
        <v>117</v>
      </c>
      <c r="H52" s="84">
        <v>1200</v>
      </c>
      <c r="I52" s="84">
        <v>1452</v>
      </c>
      <c r="J52" s="81">
        <v>0</v>
      </c>
      <c r="K52" s="81">
        <f t="shared" si="0"/>
        <v>1452</v>
      </c>
      <c r="L52" s="82" t="s">
        <v>192</v>
      </c>
    </row>
    <row r="53" spans="1:12" s="83" customFormat="1" x14ac:dyDescent="0.25">
      <c r="A53" s="86" t="s">
        <v>205</v>
      </c>
      <c r="B53" s="87">
        <v>2106</v>
      </c>
      <c r="C53" s="88"/>
      <c r="D53" s="86" t="s">
        <v>206</v>
      </c>
      <c r="E53" s="86" t="s">
        <v>206</v>
      </c>
      <c r="F53" s="86" t="s">
        <v>207</v>
      </c>
      <c r="G53" s="89" t="s">
        <v>112</v>
      </c>
      <c r="H53" s="90">
        <v>3666.67</v>
      </c>
      <c r="I53" s="90">
        <v>3666.67</v>
      </c>
      <c r="J53" s="91">
        <v>0</v>
      </c>
      <c r="K53" s="91">
        <f t="shared" si="0"/>
        <v>3666.67</v>
      </c>
      <c r="L53" s="111" t="s">
        <v>208</v>
      </c>
    </row>
    <row r="54" spans="1:12" s="83" customFormat="1" x14ac:dyDescent="0.25">
      <c r="A54" s="86" t="s">
        <v>209</v>
      </c>
      <c r="B54" s="87">
        <v>2107</v>
      </c>
      <c r="C54" s="88"/>
      <c r="D54" s="86" t="s">
        <v>206</v>
      </c>
      <c r="E54" s="86" t="s">
        <v>206</v>
      </c>
      <c r="F54" s="86" t="s">
        <v>207</v>
      </c>
      <c r="G54" s="89" t="s">
        <v>112</v>
      </c>
      <c r="H54" s="90">
        <v>2625</v>
      </c>
      <c r="I54" s="90">
        <f>2625</f>
        <v>2625</v>
      </c>
      <c r="J54" s="91">
        <v>0</v>
      </c>
      <c r="K54" s="91">
        <f t="shared" si="0"/>
        <v>2625</v>
      </c>
      <c r="L54" s="92" t="s">
        <v>208</v>
      </c>
    </row>
    <row r="55" spans="1:12" s="83" customFormat="1" x14ac:dyDescent="0.25">
      <c r="A55" s="86" t="s">
        <v>210</v>
      </c>
      <c r="B55" s="87">
        <v>2108</v>
      </c>
      <c r="C55" s="88"/>
      <c r="D55" s="86" t="s">
        <v>206</v>
      </c>
      <c r="E55" s="86" t="s">
        <v>206</v>
      </c>
      <c r="F55" s="86" t="s">
        <v>207</v>
      </c>
      <c r="G55" s="89" t="s">
        <v>112</v>
      </c>
      <c r="H55" s="90">
        <v>2625</v>
      </c>
      <c r="I55" s="90">
        <v>2625</v>
      </c>
      <c r="J55" s="91">
        <v>0</v>
      </c>
      <c r="K55" s="91">
        <f t="shared" si="0"/>
        <v>2625</v>
      </c>
      <c r="L55" s="92" t="s">
        <v>208</v>
      </c>
    </row>
    <row r="56" spans="1:12" s="93" customFormat="1" x14ac:dyDescent="0.25">
      <c r="A56" s="86" t="s">
        <v>211</v>
      </c>
      <c r="B56" s="87">
        <v>2091</v>
      </c>
      <c r="C56" s="88"/>
      <c r="D56" s="86" t="s">
        <v>206</v>
      </c>
      <c r="E56" s="86" t="s">
        <v>206</v>
      </c>
      <c r="F56" s="86" t="s">
        <v>212</v>
      </c>
      <c r="G56" s="89" t="s">
        <v>112</v>
      </c>
      <c r="H56" s="91">
        <v>5500</v>
      </c>
      <c r="I56" s="91">
        <v>5500</v>
      </c>
      <c r="J56" s="91">
        <v>0</v>
      </c>
      <c r="K56" s="91">
        <f t="shared" si="0"/>
        <v>5500</v>
      </c>
      <c r="L56" s="94" t="s">
        <v>213</v>
      </c>
    </row>
    <row r="57" spans="1:12" s="93" customFormat="1" x14ac:dyDescent="0.25">
      <c r="A57" s="86" t="s">
        <v>214</v>
      </c>
      <c r="B57" s="87">
        <v>2104</v>
      </c>
      <c r="C57" s="88"/>
      <c r="D57" s="86" t="s">
        <v>206</v>
      </c>
      <c r="E57" s="86" t="s">
        <v>206</v>
      </c>
      <c r="F57" s="86" t="s">
        <v>207</v>
      </c>
      <c r="G57" s="89" t="s">
        <v>112</v>
      </c>
      <c r="H57" s="90">
        <v>12500</v>
      </c>
      <c r="I57" s="90">
        <v>12500</v>
      </c>
      <c r="J57" s="91">
        <v>0</v>
      </c>
      <c r="K57" s="91">
        <f t="shared" si="0"/>
        <v>12500</v>
      </c>
      <c r="L57" s="92" t="s">
        <v>208</v>
      </c>
    </row>
    <row r="58" spans="1:12" s="93" customFormat="1" x14ac:dyDescent="0.25">
      <c r="A58" s="86" t="s">
        <v>215</v>
      </c>
      <c r="B58" s="87">
        <v>2002</v>
      </c>
      <c r="C58" s="88"/>
      <c r="D58" s="86" t="s">
        <v>206</v>
      </c>
      <c r="E58" s="86" t="s">
        <v>206</v>
      </c>
      <c r="F58" s="86" t="s">
        <v>38</v>
      </c>
      <c r="G58" s="89" t="s">
        <v>112</v>
      </c>
      <c r="H58" s="91">
        <v>4200</v>
      </c>
      <c r="I58" s="91">
        <v>4200</v>
      </c>
      <c r="J58" s="91">
        <v>0</v>
      </c>
      <c r="K58" s="91">
        <f t="shared" si="0"/>
        <v>4200</v>
      </c>
      <c r="L58" s="94" t="s">
        <v>213</v>
      </c>
    </row>
    <row r="59" spans="1:12" s="93" customFormat="1" x14ac:dyDescent="0.25">
      <c r="A59" s="86" t="s">
        <v>216</v>
      </c>
      <c r="B59" s="87">
        <v>2109</v>
      </c>
      <c r="C59" s="88"/>
      <c r="D59" s="86" t="s">
        <v>206</v>
      </c>
      <c r="E59" s="86" t="s">
        <v>206</v>
      </c>
      <c r="F59" s="86" t="s">
        <v>207</v>
      </c>
      <c r="G59" s="89" t="s">
        <v>112</v>
      </c>
      <c r="H59" s="90">
        <v>2625</v>
      </c>
      <c r="I59" s="90">
        <v>2625</v>
      </c>
      <c r="J59" s="91">
        <v>0</v>
      </c>
      <c r="K59" s="91">
        <f t="shared" si="0"/>
        <v>2625</v>
      </c>
      <c r="L59" s="92" t="s">
        <v>208</v>
      </c>
    </row>
    <row r="60" spans="1:12" s="93" customFormat="1" x14ac:dyDescent="0.25">
      <c r="A60" s="86" t="s">
        <v>217</v>
      </c>
      <c r="B60" s="87">
        <v>2003</v>
      </c>
      <c r="C60" s="88"/>
      <c r="D60" s="86" t="s">
        <v>206</v>
      </c>
      <c r="E60" s="86" t="s">
        <v>206</v>
      </c>
      <c r="F60" s="86" t="s">
        <v>48</v>
      </c>
      <c r="G60" s="89" t="s">
        <v>112</v>
      </c>
      <c r="H60" s="91">
        <v>4200</v>
      </c>
      <c r="I60" s="91">
        <v>4200</v>
      </c>
      <c r="J60" s="91">
        <v>0</v>
      </c>
      <c r="K60" s="91">
        <f t="shared" si="0"/>
        <v>4200</v>
      </c>
      <c r="L60" s="94" t="s">
        <v>213</v>
      </c>
    </row>
    <row r="61" spans="1:12" s="93" customFormat="1" x14ac:dyDescent="0.25">
      <c r="A61" s="86" t="s">
        <v>218</v>
      </c>
      <c r="B61" s="87">
        <v>2110</v>
      </c>
      <c r="C61" s="88"/>
      <c r="D61" s="86" t="s">
        <v>206</v>
      </c>
      <c r="E61" s="86" t="s">
        <v>206</v>
      </c>
      <c r="F61" s="86" t="s">
        <v>207</v>
      </c>
      <c r="G61" s="89" t="s">
        <v>112</v>
      </c>
      <c r="H61" s="90">
        <v>5500</v>
      </c>
      <c r="I61" s="90">
        <v>5500</v>
      </c>
      <c r="J61" s="91">
        <v>0</v>
      </c>
      <c r="K61" s="91">
        <f t="shared" si="0"/>
        <v>5500</v>
      </c>
      <c r="L61" s="92" t="s">
        <v>208</v>
      </c>
    </row>
    <row r="62" spans="1:12" s="100" customFormat="1" x14ac:dyDescent="0.25">
      <c r="A62" s="95"/>
      <c r="B62" s="96"/>
      <c r="C62" s="96" t="s">
        <v>219</v>
      </c>
      <c r="D62" s="95"/>
      <c r="E62" s="95"/>
      <c r="F62" s="95"/>
      <c r="G62" s="97"/>
      <c r="H62" s="98">
        <f>SUM(H2:H61)</f>
        <v>516157.43000000011</v>
      </c>
      <c r="I62" s="98">
        <f>SUM(I2:I61)</f>
        <v>660151.26</v>
      </c>
      <c r="J62" s="98">
        <f t="shared" ref="J62:K62" si="1">SUM(J2:J61)</f>
        <v>151029.57</v>
      </c>
      <c r="K62" s="98">
        <f t="shared" si="1"/>
        <v>509121.69000000012</v>
      </c>
      <c r="L62" s="99"/>
    </row>
    <row r="63" spans="1:12" x14ac:dyDescent="0.25">
      <c r="I63" s="105"/>
      <c r="J63" s="106"/>
      <c r="K63" s="106"/>
    </row>
    <row r="64" spans="1:12" x14ac:dyDescent="0.25">
      <c r="I64" s="105"/>
      <c r="K64" s="105"/>
    </row>
    <row r="65" spans="1:12" s="104" customFormat="1" x14ac:dyDescent="0.25">
      <c r="A65" s="101"/>
      <c r="B65" s="102"/>
      <c r="C65" s="102"/>
      <c r="D65" s="101"/>
      <c r="E65" s="101"/>
      <c r="F65" s="101"/>
      <c r="G65" s="103"/>
      <c r="I65" s="105"/>
      <c r="L65" s="107"/>
    </row>
    <row r="66" spans="1:12" x14ac:dyDescent="0.25">
      <c r="I66" s="105"/>
      <c r="K66" s="105"/>
    </row>
  </sheetData>
  <autoFilter ref="A1:O66" xr:uid="{F4064140-040D-4F65-887A-D65371FCFCDC}"/>
  <pageMargins left="0.511811024" right="0.511811024" top="0.78740157499999996" bottom="0.78740157499999996" header="0.31496062000000002" footer="0.31496062000000002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17D4D1-1EFF-4381-AF63-C8374E66F722}">
  <dimension ref="A1:O66"/>
  <sheetViews>
    <sheetView zoomScaleNormal="100" workbookViewId="0">
      <selection activeCell="L28" sqref="L28"/>
    </sheetView>
  </sheetViews>
  <sheetFormatPr defaultColWidth="8.7109375" defaultRowHeight="15.75" x14ac:dyDescent="0.25"/>
  <cols>
    <col min="1" max="1" width="33.42578125" style="101" customWidth="1"/>
    <col min="2" max="2" width="6.5703125" style="102" customWidth="1"/>
    <col min="3" max="3" width="7.85546875" style="102" customWidth="1"/>
    <col min="4" max="4" width="11.7109375" style="101" bestFit="1" customWidth="1"/>
    <col min="5" max="5" width="11.85546875" style="101" customWidth="1"/>
    <col min="6" max="6" width="7.28515625" style="101" customWidth="1"/>
    <col min="7" max="7" width="11.28515625" style="103" customWidth="1"/>
    <col min="8" max="11" width="16.7109375" style="104" customWidth="1"/>
    <col min="12" max="12" width="76.42578125" style="107" customWidth="1"/>
    <col min="13" max="14" width="8.7109375" style="108"/>
    <col min="15" max="15" width="11.5703125" style="108" bestFit="1" customWidth="1"/>
    <col min="16" max="16384" width="8.7109375" style="108"/>
  </cols>
  <sheetData>
    <row r="1" spans="1:15" s="38" customFormat="1" ht="25.5" customHeight="1" x14ac:dyDescent="0.25">
      <c r="A1" s="32" t="s">
        <v>77</v>
      </c>
      <c r="B1" s="33" t="s">
        <v>78</v>
      </c>
      <c r="C1" s="32" t="s">
        <v>79</v>
      </c>
      <c r="D1" s="34" t="s">
        <v>80</v>
      </c>
      <c r="E1" s="34" t="s">
        <v>81</v>
      </c>
      <c r="F1" s="34" t="s">
        <v>82</v>
      </c>
      <c r="G1" s="35" t="s">
        <v>83</v>
      </c>
      <c r="H1" s="36" t="s">
        <v>84</v>
      </c>
      <c r="I1" s="36" t="s">
        <v>85</v>
      </c>
      <c r="J1" s="36" t="s">
        <v>86</v>
      </c>
      <c r="K1" s="36" t="s">
        <v>87</v>
      </c>
      <c r="L1" s="37" t="s">
        <v>88</v>
      </c>
    </row>
    <row r="2" spans="1:15" s="45" customFormat="1" x14ac:dyDescent="0.25">
      <c r="A2" s="39" t="s">
        <v>89</v>
      </c>
      <c r="B2" s="40" t="s">
        <v>90</v>
      </c>
      <c r="C2" s="41" t="s">
        <v>91</v>
      </c>
      <c r="D2" s="39" t="s">
        <v>92</v>
      </c>
      <c r="E2" s="39" t="s">
        <v>93</v>
      </c>
      <c r="F2" s="39" t="s">
        <v>94</v>
      </c>
      <c r="G2" s="42"/>
      <c r="H2" s="43">
        <v>34993.339999999997</v>
      </c>
      <c r="I2" s="43">
        <f>38167.32+3315.58</f>
        <v>41482.9</v>
      </c>
      <c r="J2" s="43">
        <v>9388.34</v>
      </c>
      <c r="K2" s="43">
        <f t="shared" ref="K2:K61" si="0">I2-J2</f>
        <v>32094.560000000001</v>
      </c>
      <c r="L2" s="44" t="s">
        <v>95</v>
      </c>
    </row>
    <row r="3" spans="1:15" s="45" customFormat="1" x14ac:dyDescent="0.25">
      <c r="A3" s="39" t="s">
        <v>96</v>
      </c>
      <c r="B3" s="40" t="s">
        <v>97</v>
      </c>
      <c r="C3" s="41" t="s">
        <v>98</v>
      </c>
      <c r="D3" s="39" t="s">
        <v>92</v>
      </c>
      <c r="E3" s="39" t="s">
        <v>99</v>
      </c>
      <c r="F3" s="39" t="s">
        <v>22</v>
      </c>
      <c r="G3" s="42"/>
      <c r="H3" s="43">
        <v>32908.57</v>
      </c>
      <c r="I3" s="43">
        <f>35504.81</f>
        <v>35504.81</v>
      </c>
      <c r="J3" s="43">
        <v>8752.27</v>
      </c>
      <c r="K3" s="43">
        <f t="shared" si="0"/>
        <v>26752.539999999997</v>
      </c>
      <c r="L3" s="44" t="s">
        <v>220</v>
      </c>
    </row>
    <row r="4" spans="1:15" s="45" customFormat="1" x14ac:dyDescent="0.25">
      <c r="A4" s="39" t="s">
        <v>101</v>
      </c>
      <c r="B4" s="40" t="s">
        <v>102</v>
      </c>
      <c r="C4" s="41" t="s">
        <v>98</v>
      </c>
      <c r="D4" s="39" t="s">
        <v>92</v>
      </c>
      <c r="E4" s="39" t="s">
        <v>99</v>
      </c>
      <c r="F4" s="39" t="s">
        <v>24</v>
      </c>
      <c r="G4" s="42"/>
      <c r="H4" s="43">
        <v>32908.57</v>
      </c>
      <c r="I4" s="110">
        <f>32908.57+4454.4</f>
        <v>37362.97</v>
      </c>
      <c r="J4" s="43">
        <v>8891.16</v>
      </c>
      <c r="K4" s="43">
        <f t="shared" si="0"/>
        <v>28471.81</v>
      </c>
      <c r="L4" s="44" t="s">
        <v>103</v>
      </c>
    </row>
    <row r="5" spans="1:15" s="53" customFormat="1" x14ac:dyDescent="0.25">
      <c r="A5" s="46" t="s">
        <v>104</v>
      </c>
      <c r="B5" s="47">
        <v>95</v>
      </c>
      <c r="C5" s="48" t="s">
        <v>105</v>
      </c>
      <c r="D5" s="46" t="s">
        <v>92</v>
      </c>
      <c r="E5" s="46" t="s">
        <v>106</v>
      </c>
      <c r="F5" s="46" t="s">
        <v>28</v>
      </c>
      <c r="G5" s="49"/>
      <c r="H5" s="50">
        <v>5208.1400000000003</v>
      </c>
      <c r="I5" s="112">
        <f>5208.14+1642.5</f>
        <v>6850.64</v>
      </c>
      <c r="J5" s="51">
        <v>381.98</v>
      </c>
      <c r="K5" s="50">
        <f t="shared" si="0"/>
        <v>6468.66</v>
      </c>
      <c r="L5" s="52" t="s">
        <v>222</v>
      </c>
    </row>
    <row r="6" spans="1:15" s="53" customFormat="1" x14ac:dyDescent="0.25">
      <c r="A6" s="46" t="s">
        <v>108</v>
      </c>
      <c r="B6" s="47" t="s">
        <v>109</v>
      </c>
      <c r="C6" s="48" t="s">
        <v>105</v>
      </c>
      <c r="D6" s="46" t="s">
        <v>92</v>
      </c>
      <c r="E6" s="54" t="s">
        <v>106</v>
      </c>
      <c r="F6" s="46" t="s">
        <v>26</v>
      </c>
      <c r="G6" s="49"/>
      <c r="H6" s="50">
        <v>5208.1400000000003</v>
      </c>
      <c r="I6" s="112">
        <f>5208.14+2901.75</f>
        <v>8109.89</v>
      </c>
      <c r="J6" s="51">
        <v>392.6</v>
      </c>
      <c r="K6" s="50">
        <f t="shared" si="0"/>
        <v>7717.29</v>
      </c>
      <c r="L6" s="52" t="s">
        <v>222</v>
      </c>
    </row>
    <row r="7" spans="1:15" s="63" customFormat="1" x14ac:dyDescent="0.25">
      <c r="A7" s="55" t="s">
        <v>110</v>
      </c>
      <c r="B7" s="56">
        <v>92</v>
      </c>
      <c r="C7" s="57"/>
      <c r="D7" s="55"/>
      <c r="E7" s="58" t="s">
        <v>111</v>
      </c>
      <c r="F7" s="58" t="s">
        <v>20</v>
      </c>
      <c r="G7" s="59" t="s">
        <v>112</v>
      </c>
      <c r="H7" s="60">
        <v>0</v>
      </c>
      <c r="I7" s="113">
        <v>3832.5</v>
      </c>
      <c r="J7" s="61">
        <v>0</v>
      </c>
      <c r="K7" s="60">
        <f t="shared" si="0"/>
        <v>3832.5</v>
      </c>
      <c r="L7" s="62" t="s">
        <v>115</v>
      </c>
    </row>
    <row r="8" spans="1:15" s="63" customFormat="1" x14ac:dyDescent="0.25">
      <c r="A8" s="55" t="s">
        <v>113</v>
      </c>
      <c r="B8" s="56">
        <v>93</v>
      </c>
      <c r="C8" s="57"/>
      <c r="D8" s="55"/>
      <c r="E8" s="58" t="s">
        <v>111</v>
      </c>
      <c r="F8" s="58" t="s">
        <v>12</v>
      </c>
      <c r="G8" s="59"/>
      <c r="H8" s="60">
        <v>0</v>
      </c>
      <c r="I8" s="113">
        <v>0</v>
      </c>
      <c r="J8" s="61">
        <v>0</v>
      </c>
      <c r="K8" s="60">
        <f t="shared" si="0"/>
        <v>0</v>
      </c>
      <c r="L8" s="62"/>
    </row>
    <row r="9" spans="1:15" s="63" customFormat="1" x14ac:dyDescent="0.25">
      <c r="A9" s="55" t="s">
        <v>114</v>
      </c>
      <c r="B9" s="56">
        <v>90</v>
      </c>
      <c r="C9" s="57"/>
      <c r="D9" s="55"/>
      <c r="E9" s="58" t="s">
        <v>111</v>
      </c>
      <c r="F9" s="58" t="s">
        <v>14</v>
      </c>
      <c r="G9" s="59" t="s">
        <v>112</v>
      </c>
      <c r="H9" s="60">
        <v>0</v>
      </c>
      <c r="I9" s="113">
        <v>18474.36</v>
      </c>
      <c r="J9" s="61">
        <v>0</v>
      </c>
      <c r="K9" s="60">
        <f t="shared" si="0"/>
        <v>18474.36</v>
      </c>
      <c r="L9" s="62" t="s">
        <v>115</v>
      </c>
    </row>
    <row r="10" spans="1:15" s="63" customFormat="1" x14ac:dyDescent="0.25">
      <c r="A10" s="55" t="s">
        <v>116</v>
      </c>
      <c r="B10" s="56">
        <v>91</v>
      </c>
      <c r="C10" s="57"/>
      <c r="D10" s="55"/>
      <c r="E10" s="58" t="s">
        <v>111</v>
      </c>
      <c r="F10" s="58" t="s">
        <v>18</v>
      </c>
      <c r="G10" s="59" t="s">
        <v>117</v>
      </c>
      <c r="H10" s="60">
        <v>0</v>
      </c>
      <c r="I10" s="60">
        <v>0</v>
      </c>
      <c r="J10" s="60">
        <v>0</v>
      </c>
      <c r="K10" s="60">
        <f t="shared" si="0"/>
        <v>0</v>
      </c>
    </row>
    <row r="11" spans="1:15" s="63" customFormat="1" x14ac:dyDescent="0.25">
      <c r="A11" s="55" t="s">
        <v>118</v>
      </c>
      <c r="B11" s="56">
        <v>94</v>
      </c>
      <c r="C11" s="57"/>
      <c r="D11" s="55"/>
      <c r="E11" s="58" t="s">
        <v>111</v>
      </c>
      <c r="F11" s="58" t="s">
        <v>16</v>
      </c>
      <c r="G11" s="59"/>
      <c r="H11" s="60">
        <v>0</v>
      </c>
      <c r="I11" s="60">
        <v>0</v>
      </c>
      <c r="J11" s="60">
        <v>0</v>
      </c>
      <c r="K11" s="60">
        <f t="shared" si="0"/>
        <v>0</v>
      </c>
      <c r="L11" s="62"/>
    </row>
    <row r="12" spans="1:15" s="71" customFormat="1" x14ac:dyDescent="0.25">
      <c r="A12" s="64" t="s">
        <v>119</v>
      </c>
      <c r="B12" s="65">
        <v>88</v>
      </c>
      <c r="C12" s="66" t="s">
        <v>120</v>
      </c>
      <c r="D12" s="64" t="s">
        <v>121</v>
      </c>
      <c r="E12" s="64" t="s">
        <v>122</v>
      </c>
      <c r="F12" s="64" t="s">
        <v>42</v>
      </c>
      <c r="G12" s="67" t="s">
        <v>112</v>
      </c>
      <c r="H12" s="68">
        <v>9474.9</v>
      </c>
      <c r="I12" s="68">
        <v>9474.9</v>
      </c>
      <c r="J12" s="68">
        <v>2428.84</v>
      </c>
      <c r="K12" s="69">
        <f t="shared" si="0"/>
        <v>7046.0599999999995</v>
      </c>
      <c r="L12" s="70" t="s">
        <v>223</v>
      </c>
    </row>
    <row r="13" spans="1:15" s="71" customFormat="1" x14ac:dyDescent="0.25">
      <c r="A13" s="64" t="s">
        <v>124</v>
      </c>
      <c r="B13" s="65">
        <v>84</v>
      </c>
      <c r="C13" s="66" t="s">
        <v>120</v>
      </c>
      <c r="D13" s="64" t="s">
        <v>121</v>
      </c>
      <c r="E13" s="64" t="s">
        <v>122</v>
      </c>
      <c r="F13" s="64" t="s">
        <v>42</v>
      </c>
      <c r="G13" s="67" t="s">
        <v>112</v>
      </c>
      <c r="H13" s="68">
        <v>9474.9</v>
      </c>
      <c r="I13" s="68">
        <v>9474.9</v>
      </c>
      <c r="J13" s="68">
        <v>2410.14</v>
      </c>
      <c r="K13" s="69">
        <f t="shared" si="0"/>
        <v>7064.76</v>
      </c>
      <c r="L13" s="70" t="s">
        <v>223</v>
      </c>
    </row>
    <row r="14" spans="1:15" s="71" customFormat="1" ht="15.75" customHeight="1" x14ac:dyDescent="0.25">
      <c r="A14" s="64" t="s">
        <v>125</v>
      </c>
      <c r="B14" s="65">
        <v>80</v>
      </c>
      <c r="C14" s="66" t="s">
        <v>126</v>
      </c>
      <c r="D14" s="64" t="s">
        <v>127</v>
      </c>
      <c r="E14" s="64" t="s">
        <v>128</v>
      </c>
      <c r="F14" s="64" t="s">
        <v>44</v>
      </c>
      <c r="G14" s="67" t="s">
        <v>112</v>
      </c>
      <c r="H14" s="68">
        <v>14011.1</v>
      </c>
      <c r="I14" s="68">
        <v>14571.54</v>
      </c>
      <c r="J14" s="68">
        <v>4092.61</v>
      </c>
      <c r="K14" s="69">
        <f t="shared" si="0"/>
        <v>10478.93</v>
      </c>
      <c r="L14" s="70" t="s">
        <v>223</v>
      </c>
    </row>
    <row r="15" spans="1:15" s="71" customFormat="1" ht="15.75" customHeight="1" x14ac:dyDescent="0.25">
      <c r="A15" s="64" t="s">
        <v>129</v>
      </c>
      <c r="B15" s="65">
        <v>54</v>
      </c>
      <c r="C15" s="66" t="s">
        <v>130</v>
      </c>
      <c r="D15" s="64" t="s">
        <v>53</v>
      </c>
      <c r="E15" s="64" t="s">
        <v>128</v>
      </c>
      <c r="F15" s="64" t="s">
        <v>46</v>
      </c>
      <c r="G15" s="67" t="s">
        <v>112</v>
      </c>
      <c r="H15" s="68">
        <v>9680.8799999999992</v>
      </c>
      <c r="I15" s="68">
        <v>13261.21</v>
      </c>
      <c r="J15" s="68">
        <v>3555.45</v>
      </c>
      <c r="K15" s="69">
        <f t="shared" si="0"/>
        <v>9705.7599999999984</v>
      </c>
      <c r="L15" s="70" t="s">
        <v>224</v>
      </c>
    </row>
    <row r="16" spans="1:15" s="71" customFormat="1" x14ac:dyDescent="0.25">
      <c r="A16" s="64" t="s">
        <v>132</v>
      </c>
      <c r="B16" s="65">
        <v>4</v>
      </c>
      <c r="C16" s="66" t="s">
        <v>133</v>
      </c>
      <c r="D16" s="64" t="s">
        <v>127</v>
      </c>
      <c r="E16" s="64" t="s">
        <v>122</v>
      </c>
      <c r="F16" s="64" t="s">
        <v>44</v>
      </c>
      <c r="G16" s="67" t="s">
        <v>112</v>
      </c>
      <c r="H16" s="68">
        <v>16500.2</v>
      </c>
      <c r="I16" s="68">
        <v>17820.22</v>
      </c>
      <c r="J16" s="68">
        <v>4774.63</v>
      </c>
      <c r="K16" s="69">
        <f t="shared" si="0"/>
        <v>13045.59</v>
      </c>
      <c r="L16" s="70" t="s">
        <v>223</v>
      </c>
      <c r="O16" s="109"/>
    </row>
    <row r="17" spans="1:15" s="71" customFormat="1" x14ac:dyDescent="0.25">
      <c r="A17" s="64" t="s">
        <v>134</v>
      </c>
      <c r="B17" s="65">
        <v>85</v>
      </c>
      <c r="C17" s="66" t="s">
        <v>120</v>
      </c>
      <c r="D17" s="64" t="s">
        <v>121</v>
      </c>
      <c r="E17" s="64" t="s">
        <v>122</v>
      </c>
      <c r="F17" s="64" t="s">
        <v>48</v>
      </c>
      <c r="G17" s="67" t="s">
        <v>112</v>
      </c>
      <c r="H17" s="68">
        <v>9474.9</v>
      </c>
      <c r="I17" s="72">
        <v>9957.2099999999991</v>
      </c>
      <c r="J17" s="68">
        <v>2435.5500000000002</v>
      </c>
      <c r="K17" s="69">
        <f t="shared" si="0"/>
        <v>7521.6599999999989</v>
      </c>
      <c r="L17" s="70" t="s">
        <v>225</v>
      </c>
      <c r="O17" s="109"/>
    </row>
    <row r="18" spans="1:15" s="71" customFormat="1" ht="15.75" customHeight="1" x14ac:dyDescent="0.25">
      <c r="A18" s="64" t="s">
        <v>136</v>
      </c>
      <c r="B18" s="65">
        <v>75</v>
      </c>
      <c r="C18" s="66" t="s">
        <v>130</v>
      </c>
      <c r="D18" s="64" t="s">
        <v>53</v>
      </c>
      <c r="E18" s="64" t="s">
        <v>128</v>
      </c>
      <c r="F18" s="64" t="s">
        <v>42</v>
      </c>
      <c r="G18" s="67" t="s">
        <v>112</v>
      </c>
      <c r="H18" s="68">
        <v>9680.8799999999992</v>
      </c>
      <c r="I18" s="68">
        <v>12537.16</v>
      </c>
      <c r="J18" s="68">
        <v>3123.28</v>
      </c>
      <c r="K18" s="69">
        <f t="shared" si="0"/>
        <v>9413.8799999999992</v>
      </c>
      <c r="L18" s="70" t="s">
        <v>226</v>
      </c>
    </row>
    <row r="19" spans="1:15" s="71" customFormat="1" x14ac:dyDescent="0.25">
      <c r="A19" s="64" t="s">
        <v>138</v>
      </c>
      <c r="B19" s="65">
        <v>57</v>
      </c>
      <c r="C19" s="66" t="s">
        <v>139</v>
      </c>
      <c r="D19" s="64" t="s">
        <v>127</v>
      </c>
      <c r="E19" s="64" t="s">
        <v>122</v>
      </c>
      <c r="F19" s="73" t="s">
        <v>64</v>
      </c>
      <c r="G19" s="67" t="s">
        <v>112</v>
      </c>
      <c r="H19" s="68">
        <v>13266.04</v>
      </c>
      <c r="I19" s="68">
        <v>15226.96</v>
      </c>
      <c r="J19" s="68">
        <v>3546.49</v>
      </c>
      <c r="K19" s="69">
        <f t="shared" si="0"/>
        <v>11680.47</v>
      </c>
      <c r="L19" s="70" t="s">
        <v>140</v>
      </c>
    </row>
    <row r="20" spans="1:15" s="71" customFormat="1" x14ac:dyDescent="0.25">
      <c r="A20" s="64" t="s">
        <v>141</v>
      </c>
      <c r="B20" s="65">
        <v>58</v>
      </c>
      <c r="C20" s="66" t="s">
        <v>142</v>
      </c>
      <c r="D20" s="64" t="s">
        <v>53</v>
      </c>
      <c r="E20" s="64" t="s">
        <v>143</v>
      </c>
      <c r="F20" s="73" t="s">
        <v>64</v>
      </c>
      <c r="G20" s="67" t="s">
        <v>112</v>
      </c>
      <c r="H20" s="68">
        <v>7575.14</v>
      </c>
      <c r="I20" s="68">
        <v>10254.49</v>
      </c>
      <c r="J20" s="68">
        <v>3164.19</v>
      </c>
      <c r="K20" s="69">
        <f t="shared" si="0"/>
        <v>7090.2999999999993</v>
      </c>
      <c r="L20" s="70" t="s">
        <v>227</v>
      </c>
    </row>
    <row r="21" spans="1:15" s="71" customFormat="1" x14ac:dyDescent="0.25">
      <c r="A21" s="64" t="s">
        <v>145</v>
      </c>
      <c r="B21" s="65">
        <v>14</v>
      </c>
      <c r="C21" s="66" t="s">
        <v>133</v>
      </c>
      <c r="D21" s="64" t="s">
        <v>127</v>
      </c>
      <c r="E21" s="64" t="s">
        <v>128</v>
      </c>
      <c r="F21" s="64" t="s">
        <v>36</v>
      </c>
      <c r="G21" s="67" t="s">
        <v>112</v>
      </c>
      <c r="H21" s="68">
        <v>16500.2</v>
      </c>
      <c r="I21" s="68">
        <v>19470.240000000002</v>
      </c>
      <c r="J21" s="68">
        <v>5226.3</v>
      </c>
      <c r="K21" s="69">
        <f t="shared" si="0"/>
        <v>14243.940000000002</v>
      </c>
      <c r="L21" s="70" t="s">
        <v>228</v>
      </c>
    </row>
    <row r="22" spans="1:15" s="71" customFormat="1" x14ac:dyDescent="0.25">
      <c r="A22" s="64" t="s">
        <v>147</v>
      </c>
      <c r="B22" s="65">
        <v>44</v>
      </c>
      <c r="C22" s="66" t="s">
        <v>148</v>
      </c>
      <c r="D22" s="64" t="s">
        <v>127</v>
      </c>
      <c r="E22" s="64" t="s">
        <v>122</v>
      </c>
      <c r="F22" s="64" t="s">
        <v>40</v>
      </c>
      <c r="G22" s="67" t="s">
        <v>112</v>
      </c>
      <c r="H22" s="68">
        <v>12564.1</v>
      </c>
      <c r="I22" s="68">
        <v>13066.66</v>
      </c>
      <c r="J22" s="68">
        <v>3781.51</v>
      </c>
      <c r="K22" s="69">
        <f t="shared" si="0"/>
        <v>9285.15</v>
      </c>
      <c r="L22" s="70" t="s">
        <v>223</v>
      </c>
    </row>
    <row r="23" spans="1:15" s="71" customFormat="1" x14ac:dyDescent="0.25">
      <c r="A23" s="64" t="s">
        <v>149</v>
      </c>
      <c r="B23" s="65">
        <v>61</v>
      </c>
      <c r="C23" s="66" t="s">
        <v>150</v>
      </c>
      <c r="D23" s="64" t="s">
        <v>121</v>
      </c>
      <c r="E23" s="64" t="s">
        <v>122</v>
      </c>
      <c r="F23" s="64" t="s">
        <v>34</v>
      </c>
      <c r="G23" s="67" t="s">
        <v>112</v>
      </c>
      <c r="H23" s="68">
        <v>12439.9</v>
      </c>
      <c r="I23" s="68">
        <v>13162.5</v>
      </c>
      <c r="J23" s="68">
        <v>3424.86</v>
      </c>
      <c r="K23" s="69">
        <f t="shared" si="0"/>
        <v>9737.64</v>
      </c>
      <c r="L23" s="70" t="s">
        <v>223</v>
      </c>
    </row>
    <row r="24" spans="1:15" s="71" customFormat="1" x14ac:dyDescent="0.25">
      <c r="A24" s="64" t="s">
        <v>151</v>
      </c>
      <c r="B24" s="65">
        <v>13</v>
      </c>
      <c r="C24" s="66" t="s">
        <v>133</v>
      </c>
      <c r="D24" s="64" t="s">
        <v>127</v>
      </c>
      <c r="E24" s="64" t="s">
        <v>128</v>
      </c>
      <c r="F24" s="64" t="s">
        <v>32</v>
      </c>
      <c r="G24" s="67" t="s">
        <v>112</v>
      </c>
      <c r="H24" s="68">
        <v>16500.2</v>
      </c>
      <c r="I24" s="68">
        <v>19470.240000000002</v>
      </c>
      <c r="J24" s="68">
        <v>5776.09</v>
      </c>
      <c r="K24" s="69">
        <f t="shared" si="0"/>
        <v>13694.150000000001</v>
      </c>
      <c r="L24" s="70" t="s">
        <v>228</v>
      </c>
    </row>
    <row r="25" spans="1:15" s="71" customFormat="1" x14ac:dyDescent="0.25">
      <c r="A25" s="64" t="s">
        <v>152</v>
      </c>
      <c r="B25" s="65">
        <v>73</v>
      </c>
      <c r="C25" s="66" t="s">
        <v>126</v>
      </c>
      <c r="D25" s="64" t="s">
        <v>127</v>
      </c>
      <c r="E25" s="64" t="s">
        <v>153</v>
      </c>
      <c r="F25" s="64" t="s">
        <v>40</v>
      </c>
      <c r="G25" s="67" t="s">
        <v>112</v>
      </c>
      <c r="H25" s="68">
        <v>14011.1</v>
      </c>
      <c r="I25" s="68">
        <v>16602.259999999998</v>
      </c>
      <c r="J25" s="68">
        <v>4273.25</v>
      </c>
      <c r="K25" s="69">
        <f t="shared" si="0"/>
        <v>12329.009999999998</v>
      </c>
      <c r="L25" s="70" t="s">
        <v>229</v>
      </c>
    </row>
    <row r="26" spans="1:15" s="71" customFormat="1" x14ac:dyDescent="0.25">
      <c r="A26" s="64" t="s">
        <v>155</v>
      </c>
      <c r="B26" s="65">
        <v>89</v>
      </c>
      <c r="C26" s="66" t="s">
        <v>120</v>
      </c>
      <c r="D26" s="64" t="s">
        <v>121</v>
      </c>
      <c r="E26" s="64" t="s">
        <v>122</v>
      </c>
      <c r="F26" s="64" t="s">
        <v>32</v>
      </c>
      <c r="G26" s="67" t="s">
        <v>112</v>
      </c>
      <c r="H26" s="68">
        <v>9474.9</v>
      </c>
      <c r="I26" s="68">
        <v>12948.97</v>
      </c>
      <c r="J26" s="68">
        <v>9003.3700000000008</v>
      </c>
      <c r="K26" s="69">
        <f t="shared" si="0"/>
        <v>3945.5999999999985</v>
      </c>
      <c r="L26" s="70" t="s">
        <v>237</v>
      </c>
    </row>
    <row r="27" spans="1:15" s="71" customFormat="1" x14ac:dyDescent="0.25">
      <c r="A27" s="64" t="s">
        <v>157</v>
      </c>
      <c r="B27" s="65">
        <v>60</v>
      </c>
      <c r="C27" s="66" t="s">
        <v>158</v>
      </c>
      <c r="D27" s="64" t="s">
        <v>92</v>
      </c>
      <c r="E27" s="64" t="s">
        <v>128</v>
      </c>
      <c r="F27" s="64" t="s">
        <v>16</v>
      </c>
      <c r="G27" s="67" t="s">
        <v>117</v>
      </c>
      <c r="H27" s="68">
        <v>18962.259999999998</v>
      </c>
      <c r="I27" s="68">
        <v>23063.63</v>
      </c>
      <c r="J27" s="68">
        <v>5644.94</v>
      </c>
      <c r="K27" s="69">
        <f t="shared" si="0"/>
        <v>17418.690000000002</v>
      </c>
      <c r="L27" s="70" t="s">
        <v>230</v>
      </c>
    </row>
    <row r="28" spans="1:15" s="71" customFormat="1" ht="15.75" customHeight="1" x14ac:dyDescent="0.25">
      <c r="A28" s="64" t="s">
        <v>160</v>
      </c>
      <c r="B28" s="65">
        <v>81</v>
      </c>
      <c r="C28" s="66" t="s">
        <v>161</v>
      </c>
      <c r="D28" s="64" t="s">
        <v>92</v>
      </c>
      <c r="E28" s="64" t="s">
        <v>162</v>
      </c>
      <c r="F28" s="64" t="s">
        <v>16</v>
      </c>
      <c r="G28" s="67" t="s">
        <v>117</v>
      </c>
      <c r="H28" s="68">
        <v>15766.65</v>
      </c>
      <c r="I28" s="68">
        <v>17658.64</v>
      </c>
      <c r="J28" s="68">
        <v>4650.05</v>
      </c>
      <c r="K28" s="69">
        <f t="shared" si="0"/>
        <v>13008.59</v>
      </c>
      <c r="L28" s="70" t="s">
        <v>284</v>
      </c>
    </row>
    <row r="29" spans="1:15" s="71" customFormat="1" ht="15.75" customHeight="1" x14ac:dyDescent="0.25">
      <c r="A29" s="64" t="s">
        <v>164</v>
      </c>
      <c r="B29" s="65">
        <v>76</v>
      </c>
      <c r="C29" s="66" t="s">
        <v>130</v>
      </c>
      <c r="D29" s="64" t="s">
        <v>53</v>
      </c>
      <c r="E29" s="64" t="s">
        <v>128</v>
      </c>
      <c r="F29" s="64" t="s">
        <v>48</v>
      </c>
      <c r="G29" s="67" t="s">
        <v>112</v>
      </c>
      <c r="H29" s="68">
        <v>9680.8799999999992</v>
      </c>
      <c r="I29" s="68">
        <v>13036.21</v>
      </c>
      <c r="J29" s="68">
        <v>4843.55</v>
      </c>
      <c r="K29" s="69">
        <f t="shared" si="0"/>
        <v>8192.66</v>
      </c>
      <c r="L29" s="70" t="s">
        <v>231</v>
      </c>
    </row>
    <row r="30" spans="1:15" s="71" customFormat="1" x14ac:dyDescent="0.25">
      <c r="A30" s="64" t="s">
        <v>166</v>
      </c>
      <c r="B30" s="65">
        <v>8</v>
      </c>
      <c r="C30" s="66" t="s">
        <v>167</v>
      </c>
      <c r="D30" s="64" t="s">
        <v>127</v>
      </c>
      <c r="E30" s="64" t="s">
        <v>128</v>
      </c>
      <c r="F30" s="64" t="s">
        <v>30</v>
      </c>
      <c r="G30" s="67" t="s">
        <v>112</v>
      </c>
      <c r="H30" s="68">
        <v>15622.31</v>
      </c>
      <c r="I30" s="68">
        <v>18434.32</v>
      </c>
      <c r="J30" s="68">
        <v>4998.9799999999996</v>
      </c>
      <c r="K30" s="69">
        <f t="shared" si="0"/>
        <v>13435.34</v>
      </c>
      <c r="L30" s="70" t="s">
        <v>228</v>
      </c>
    </row>
    <row r="31" spans="1:15" s="71" customFormat="1" x14ac:dyDescent="0.25">
      <c r="A31" s="64" t="s">
        <v>168</v>
      </c>
      <c r="B31" s="65">
        <v>79</v>
      </c>
      <c r="C31" s="66" t="s">
        <v>169</v>
      </c>
      <c r="D31" s="64" t="s">
        <v>53</v>
      </c>
      <c r="E31" s="64" t="s">
        <v>143</v>
      </c>
      <c r="F31" s="64" t="s">
        <v>30</v>
      </c>
      <c r="G31" s="67" t="s">
        <v>112</v>
      </c>
      <c r="H31" s="68">
        <v>8055.68</v>
      </c>
      <c r="I31" s="68">
        <v>9683.48</v>
      </c>
      <c r="J31" s="68">
        <v>2467.5</v>
      </c>
      <c r="K31" s="69">
        <f t="shared" si="0"/>
        <v>7215.98</v>
      </c>
      <c r="L31" s="70" t="s">
        <v>232</v>
      </c>
    </row>
    <row r="32" spans="1:15" s="71" customFormat="1" x14ac:dyDescent="0.25">
      <c r="A32" s="64" t="s">
        <v>171</v>
      </c>
      <c r="B32" s="65">
        <v>49</v>
      </c>
      <c r="C32" s="66" t="s">
        <v>169</v>
      </c>
      <c r="D32" s="64" t="s">
        <v>53</v>
      </c>
      <c r="E32" s="64" t="s">
        <v>143</v>
      </c>
      <c r="F32" s="64" t="s">
        <v>40</v>
      </c>
      <c r="G32" s="67" t="s">
        <v>112</v>
      </c>
      <c r="H32" s="68">
        <v>8055.68</v>
      </c>
      <c r="I32" s="68">
        <v>8877.91</v>
      </c>
      <c r="J32" s="68">
        <v>2260.63</v>
      </c>
      <c r="K32" s="69">
        <f t="shared" si="0"/>
        <v>6617.28</v>
      </c>
      <c r="L32" s="70" t="s">
        <v>233</v>
      </c>
    </row>
    <row r="33" spans="1:12" s="71" customFormat="1" x14ac:dyDescent="0.25">
      <c r="A33" s="64" t="s">
        <v>173</v>
      </c>
      <c r="B33" s="65">
        <v>86</v>
      </c>
      <c r="C33" s="66" t="s">
        <v>174</v>
      </c>
      <c r="D33" s="64" t="s">
        <v>121</v>
      </c>
      <c r="E33" s="64" t="s">
        <v>122</v>
      </c>
      <c r="F33" s="64" t="s">
        <v>36</v>
      </c>
      <c r="G33" s="67" t="s">
        <v>112</v>
      </c>
      <c r="H33" s="68">
        <v>8973.5300000000007</v>
      </c>
      <c r="I33" s="68">
        <v>8973.5300000000007</v>
      </c>
      <c r="J33" s="68">
        <v>2360.1799999999998</v>
      </c>
      <c r="K33" s="69">
        <f t="shared" si="0"/>
        <v>6613.35</v>
      </c>
      <c r="L33" s="70" t="s">
        <v>223</v>
      </c>
    </row>
    <row r="34" spans="1:12" s="71" customFormat="1" x14ac:dyDescent="0.25">
      <c r="A34" s="64" t="s">
        <v>175</v>
      </c>
      <c r="B34" s="65">
        <v>65</v>
      </c>
      <c r="C34" s="66" t="s">
        <v>176</v>
      </c>
      <c r="D34" s="64" t="s">
        <v>121</v>
      </c>
      <c r="E34" s="64" t="s">
        <v>122</v>
      </c>
      <c r="F34" s="64" t="s">
        <v>32</v>
      </c>
      <c r="G34" s="67" t="s">
        <v>112</v>
      </c>
      <c r="H34" s="68">
        <v>12439.9</v>
      </c>
      <c r="I34" s="68">
        <v>12937.5</v>
      </c>
      <c r="J34" s="68">
        <v>3351.74</v>
      </c>
      <c r="K34" s="69">
        <f t="shared" si="0"/>
        <v>9585.76</v>
      </c>
      <c r="L34" s="70" t="s">
        <v>223</v>
      </c>
    </row>
    <row r="35" spans="1:12" s="71" customFormat="1" ht="15.75" customHeight="1" x14ac:dyDescent="0.25">
      <c r="A35" s="64" t="s">
        <v>177</v>
      </c>
      <c r="B35" s="65">
        <v>35</v>
      </c>
      <c r="C35" s="66" t="s">
        <v>178</v>
      </c>
      <c r="D35" s="64" t="s">
        <v>53</v>
      </c>
      <c r="E35" s="64" t="s">
        <v>128</v>
      </c>
      <c r="F35" s="64" t="s">
        <v>34</v>
      </c>
      <c r="G35" s="67" t="s">
        <v>112</v>
      </c>
      <c r="H35" s="68">
        <v>9103.19</v>
      </c>
      <c r="I35" s="68">
        <v>11649.38</v>
      </c>
      <c r="J35" s="68">
        <v>3529.84</v>
      </c>
      <c r="K35" s="69">
        <f t="shared" si="0"/>
        <v>8119.5399999999991</v>
      </c>
      <c r="L35" s="70" t="s">
        <v>179</v>
      </c>
    </row>
    <row r="36" spans="1:12" s="71" customFormat="1" ht="15.75" customHeight="1" x14ac:dyDescent="0.25">
      <c r="A36" s="64" t="s">
        <v>180</v>
      </c>
      <c r="B36" s="65">
        <v>56</v>
      </c>
      <c r="C36" s="66" t="s">
        <v>133</v>
      </c>
      <c r="D36" s="64" t="s">
        <v>127</v>
      </c>
      <c r="E36" s="64" t="s">
        <v>128</v>
      </c>
      <c r="F36" s="64" t="s">
        <v>40</v>
      </c>
      <c r="G36" s="67" t="s">
        <v>112</v>
      </c>
      <c r="H36" s="68">
        <v>16500.2</v>
      </c>
      <c r="I36" s="68">
        <v>29918.68</v>
      </c>
      <c r="J36" s="68">
        <v>18118.03</v>
      </c>
      <c r="K36" s="69">
        <f t="shared" si="0"/>
        <v>11800.650000000001</v>
      </c>
      <c r="L36" s="70" t="s">
        <v>238</v>
      </c>
    </row>
    <row r="37" spans="1:12" s="71" customFormat="1" x14ac:dyDescent="0.25">
      <c r="A37" s="64" t="s">
        <v>182</v>
      </c>
      <c r="B37" s="65">
        <v>34</v>
      </c>
      <c r="C37" s="66" t="s">
        <v>130</v>
      </c>
      <c r="D37" s="64" t="s">
        <v>53</v>
      </c>
      <c r="E37" s="64" t="s">
        <v>143</v>
      </c>
      <c r="F37" s="64" t="s">
        <v>34</v>
      </c>
      <c r="G37" s="67" t="s">
        <v>112</v>
      </c>
      <c r="H37" s="68">
        <v>9680.8799999999992</v>
      </c>
      <c r="I37" s="68">
        <v>10761.73</v>
      </c>
      <c r="J37" s="68">
        <v>2764.02</v>
      </c>
      <c r="K37" s="69">
        <f t="shared" si="0"/>
        <v>7997.7099999999991</v>
      </c>
      <c r="L37" s="70" t="s">
        <v>233</v>
      </c>
    </row>
    <row r="38" spans="1:12" s="71" customFormat="1" x14ac:dyDescent="0.25">
      <c r="A38" s="64" t="s">
        <v>183</v>
      </c>
      <c r="B38" s="65">
        <v>69</v>
      </c>
      <c r="C38" s="66" t="s">
        <v>139</v>
      </c>
      <c r="D38" s="64" t="s">
        <v>127</v>
      </c>
      <c r="E38" s="64" t="s">
        <v>184</v>
      </c>
      <c r="F38" s="64" t="s">
        <v>10</v>
      </c>
      <c r="G38" s="67" t="s">
        <v>185</v>
      </c>
      <c r="H38" s="68">
        <v>13266.04</v>
      </c>
      <c r="I38" s="68">
        <v>15388.14</v>
      </c>
      <c r="J38" s="68">
        <v>3494.36</v>
      </c>
      <c r="K38" s="69">
        <f t="shared" si="0"/>
        <v>11893.779999999999</v>
      </c>
      <c r="L38" s="70" t="s">
        <v>140</v>
      </c>
    </row>
    <row r="39" spans="1:12" s="71" customFormat="1" x14ac:dyDescent="0.25">
      <c r="A39" s="64" t="s">
        <v>187</v>
      </c>
      <c r="B39" s="65">
        <v>51</v>
      </c>
      <c r="C39" s="66" t="s">
        <v>169</v>
      </c>
      <c r="D39" s="64" t="s">
        <v>53</v>
      </c>
      <c r="E39" s="64" t="s">
        <v>143</v>
      </c>
      <c r="F39" s="64" t="s">
        <v>36</v>
      </c>
      <c r="G39" s="67" t="s">
        <v>112</v>
      </c>
      <c r="H39" s="68">
        <v>8055.68</v>
      </c>
      <c r="I39" s="68">
        <v>8877.91</v>
      </c>
      <c r="J39" s="68">
        <v>2245.9699999999998</v>
      </c>
      <c r="K39" s="69">
        <f t="shared" si="0"/>
        <v>6631.9400000000005</v>
      </c>
      <c r="L39" s="70" t="s">
        <v>233</v>
      </c>
    </row>
    <row r="40" spans="1:12" s="71" customFormat="1" x14ac:dyDescent="0.25">
      <c r="A40" s="64" t="s">
        <v>188</v>
      </c>
      <c r="B40" s="65">
        <v>70</v>
      </c>
      <c r="C40" s="66" t="s">
        <v>148</v>
      </c>
      <c r="D40" s="64" t="s">
        <v>127</v>
      </c>
      <c r="E40" s="64" t="s">
        <v>184</v>
      </c>
      <c r="F40" s="64" t="s">
        <v>10</v>
      </c>
      <c r="G40" s="67" t="s">
        <v>185</v>
      </c>
      <c r="H40" s="68">
        <v>12564.1</v>
      </c>
      <c r="I40" s="68">
        <f>13066.66+ 851.55+1368.75</f>
        <v>15286.96</v>
      </c>
      <c r="J40" s="68">
        <v>5135.9799999999996</v>
      </c>
      <c r="K40" s="69">
        <f t="shared" si="0"/>
        <v>10150.98</v>
      </c>
      <c r="L40" s="70" t="s">
        <v>239</v>
      </c>
    </row>
    <row r="41" spans="1:12" s="71" customFormat="1" x14ac:dyDescent="0.25">
      <c r="A41" s="76" t="s">
        <v>235</v>
      </c>
      <c r="B41" s="77">
        <v>1035</v>
      </c>
      <c r="C41" s="78"/>
      <c r="D41" s="76" t="s">
        <v>194</v>
      </c>
      <c r="E41" s="76" t="s">
        <v>191</v>
      </c>
      <c r="F41" s="76" t="s">
        <v>30</v>
      </c>
      <c r="G41" s="79" t="s">
        <v>117</v>
      </c>
      <c r="H41" s="80">
        <v>1200</v>
      </c>
      <c r="I41" s="80">
        <v>1428</v>
      </c>
      <c r="J41" s="80">
        <v>0</v>
      </c>
      <c r="K41" s="81">
        <f t="shared" si="0"/>
        <v>1428</v>
      </c>
      <c r="L41" s="82" t="s">
        <v>192</v>
      </c>
    </row>
    <row r="42" spans="1:12" s="71" customFormat="1" x14ac:dyDescent="0.25">
      <c r="A42" s="76" t="s">
        <v>240</v>
      </c>
      <c r="B42" s="77"/>
      <c r="C42" s="78"/>
      <c r="D42" s="76" t="s">
        <v>194</v>
      </c>
      <c r="E42" s="76" t="s">
        <v>191</v>
      </c>
      <c r="F42" s="76" t="s">
        <v>10</v>
      </c>
      <c r="G42" s="79" t="s">
        <v>117</v>
      </c>
      <c r="H42" s="80">
        <v>1200</v>
      </c>
      <c r="I42" s="80">
        <v>915.74</v>
      </c>
      <c r="J42" s="80">
        <v>120</v>
      </c>
      <c r="K42" s="81">
        <f t="shared" si="0"/>
        <v>795.74</v>
      </c>
      <c r="L42" s="82" t="s">
        <v>192</v>
      </c>
    </row>
    <row r="43" spans="1:12" s="83" customFormat="1" x14ac:dyDescent="0.25">
      <c r="A43" s="76" t="s">
        <v>189</v>
      </c>
      <c r="B43" s="77">
        <v>1125</v>
      </c>
      <c r="C43" s="78"/>
      <c r="D43" s="76" t="s">
        <v>190</v>
      </c>
      <c r="E43" s="76" t="s">
        <v>191</v>
      </c>
      <c r="F43" s="76" t="s">
        <v>40</v>
      </c>
      <c r="G43" s="79" t="s">
        <v>117</v>
      </c>
      <c r="H43" s="80">
        <v>1200</v>
      </c>
      <c r="I43" s="80">
        <v>1637</v>
      </c>
      <c r="J43" s="80">
        <v>0</v>
      </c>
      <c r="K43" s="81">
        <f t="shared" si="0"/>
        <v>1637</v>
      </c>
      <c r="L43" s="82" t="s">
        <v>192</v>
      </c>
    </row>
    <row r="44" spans="1:12" s="83" customFormat="1" x14ac:dyDescent="0.25">
      <c r="A44" s="76" t="s">
        <v>193</v>
      </c>
      <c r="B44" s="77">
        <v>1025</v>
      </c>
      <c r="C44" s="78"/>
      <c r="D44" s="76" t="s">
        <v>194</v>
      </c>
      <c r="E44" s="76" t="s">
        <v>191</v>
      </c>
      <c r="F44" s="76" t="s">
        <v>38</v>
      </c>
      <c r="G44" s="79" t="s">
        <v>117</v>
      </c>
      <c r="H44" s="84">
        <v>1200</v>
      </c>
      <c r="I44" s="80">
        <v>1428</v>
      </c>
      <c r="J44" s="81">
        <v>0</v>
      </c>
      <c r="K44" s="81">
        <f t="shared" si="0"/>
        <v>1428</v>
      </c>
      <c r="L44" s="82" t="s">
        <v>192</v>
      </c>
    </row>
    <row r="45" spans="1:12" s="83" customFormat="1" x14ac:dyDescent="0.25">
      <c r="A45" s="76" t="s">
        <v>241</v>
      </c>
      <c r="B45" s="77"/>
      <c r="C45" s="78"/>
      <c r="D45" s="76" t="s">
        <v>190</v>
      </c>
      <c r="E45" s="76" t="s">
        <v>191</v>
      </c>
      <c r="F45" s="76" t="s">
        <v>10</v>
      </c>
      <c r="G45" s="79" t="s">
        <v>117</v>
      </c>
      <c r="H45" s="80">
        <v>1200</v>
      </c>
      <c r="I45" s="80">
        <v>1271.6199999999999</v>
      </c>
      <c r="J45" s="81">
        <v>192</v>
      </c>
      <c r="K45" s="81">
        <f t="shared" si="0"/>
        <v>1079.6199999999999</v>
      </c>
      <c r="L45" s="82" t="s">
        <v>192</v>
      </c>
    </row>
    <row r="46" spans="1:12" s="83" customFormat="1" x14ac:dyDescent="0.25">
      <c r="A46" s="76" t="s">
        <v>195</v>
      </c>
      <c r="B46" s="77">
        <v>1032</v>
      </c>
      <c r="C46" s="78"/>
      <c r="D46" s="76" t="s">
        <v>194</v>
      </c>
      <c r="E46" s="76" t="s">
        <v>191</v>
      </c>
      <c r="F46" s="76" t="s">
        <v>30</v>
      </c>
      <c r="G46" s="79" t="s">
        <v>117</v>
      </c>
      <c r="H46" s="84">
        <v>1200</v>
      </c>
      <c r="I46" s="80">
        <v>1428</v>
      </c>
      <c r="J46" s="81">
        <v>0</v>
      </c>
      <c r="K46" s="81">
        <f t="shared" si="0"/>
        <v>1428</v>
      </c>
      <c r="L46" s="82" t="s">
        <v>192</v>
      </c>
    </row>
    <row r="47" spans="1:12" s="83" customFormat="1" x14ac:dyDescent="0.25">
      <c r="A47" s="76" t="s">
        <v>236</v>
      </c>
      <c r="B47" s="77">
        <v>1034</v>
      </c>
      <c r="C47" s="78"/>
      <c r="D47" s="76" t="s">
        <v>194</v>
      </c>
      <c r="E47" s="76" t="s">
        <v>191</v>
      </c>
      <c r="F47" s="76" t="s">
        <v>30</v>
      </c>
      <c r="G47" s="79" t="s">
        <v>117</v>
      </c>
      <c r="H47" s="84">
        <v>1200</v>
      </c>
      <c r="I47" s="80">
        <v>1428</v>
      </c>
      <c r="J47" s="81">
        <v>0</v>
      </c>
      <c r="K47" s="81">
        <f t="shared" si="0"/>
        <v>1428</v>
      </c>
      <c r="L47" s="82" t="s">
        <v>192</v>
      </c>
    </row>
    <row r="48" spans="1:12" s="83" customFormat="1" x14ac:dyDescent="0.25">
      <c r="A48" s="76" t="s">
        <v>196</v>
      </c>
      <c r="B48" s="77">
        <v>1033</v>
      </c>
      <c r="C48" s="78"/>
      <c r="D48" s="76" t="s">
        <v>194</v>
      </c>
      <c r="E48" s="76" t="s">
        <v>191</v>
      </c>
      <c r="F48" s="76" t="s">
        <v>42</v>
      </c>
      <c r="G48" s="79" t="s">
        <v>117</v>
      </c>
      <c r="H48" s="84">
        <v>1200</v>
      </c>
      <c r="I48" s="80">
        <v>1428</v>
      </c>
      <c r="J48" s="81">
        <v>0</v>
      </c>
      <c r="K48" s="81">
        <f t="shared" si="0"/>
        <v>1428</v>
      </c>
      <c r="L48" s="82" t="s">
        <v>192</v>
      </c>
    </row>
    <row r="49" spans="1:12" s="83" customFormat="1" x14ac:dyDescent="0.25">
      <c r="A49" s="76" t="s">
        <v>197</v>
      </c>
      <c r="B49" s="77">
        <v>1024</v>
      </c>
      <c r="C49" s="78"/>
      <c r="D49" s="76" t="s">
        <v>194</v>
      </c>
      <c r="E49" s="76" t="s">
        <v>191</v>
      </c>
      <c r="F49" s="76" t="s">
        <v>44</v>
      </c>
      <c r="G49" s="79" t="s">
        <v>117</v>
      </c>
      <c r="H49" s="84">
        <v>1200</v>
      </c>
      <c r="I49" s="80">
        <v>1428</v>
      </c>
      <c r="J49" s="81">
        <v>0</v>
      </c>
      <c r="K49" s="81">
        <f t="shared" si="0"/>
        <v>1428</v>
      </c>
      <c r="L49" s="82" t="s">
        <v>192</v>
      </c>
    </row>
    <row r="50" spans="1:12" s="83" customFormat="1" x14ac:dyDescent="0.25">
      <c r="A50" s="76" t="s">
        <v>198</v>
      </c>
      <c r="B50" s="77">
        <v>1023</v>
      </c>
      <c r="C50" s="78"/>
      <c r="D50" s="76" t="s">
        <v>190</v>
      </c>
      <c r="E50" s="76" t="s">
        <v>191</v>
      </c>
      <c r="F50" s="76" t="s">
        <v>40</v>
      </c>
      <c r="G50" s="79" t="s">
        <v>117</v>
      </c>
      <c r="H50" s="85">
        <v>1200</v>
      </c>
      <c r="I50" s="80">
        <v>1428</v>
      </c>
      <c r="J50" s="81">
        <v>0</v>
      </c>
      <c r="K50" s="81">
        <f t="shared" si="0"/>
        <v>1428</v>
      </c>
      <c r="L50" s="82" t="s">
        <v>192</v>
      </c>
    </row>
    <row r="51" spans="1:12" s="83" customFormat="1" x14ac:dyDescent="0.25">
      <c r="A51" s="76" t="s">
        <v>201</v>
      </c>
      <c r="B51" s="77">
        <v>1022</v>
      </c>
      <c r="C51" s="78"/>
      <c r="D51" s="76" t="s">
        <v>194</v>
      </c>
      <c r="E51" s="76" t="s">
        <v>191</v>
      </c>
      <c r="F51" s="76" t="s">
        <v>14</v>
      </c>
      <c r="G51" s="79" t="s">
        <v>117</v>
      </c>
      <c r="H51" s="85">
        <v>1200</v>
      </c>
      <c r="I51" s="80">
        <v>1428</v>
      </c>
      <c r="J51" s="81">
        <v>0</v>
      </c>
      <c r="K51" s="81">
        <f t="shared" si="0"/>
        <v>1428</v>
      </c>
      <c r="L51" s="82" t="s">
        <v>192</v>
      </c>
    </row>
    <row r="52" spans="1:12" s="83" customFormat="1" x14ac:dyDescent="0.25">
      <c r="A52" s="76" t="s">
        <v>202</v>
      </c>
      <c r="B52" s="77">
        <v>1031</v>
      </c>
      <c r="C52" s="78"/>
      <c r="D52" s="76" t="s">
        <v>194</v>
      </c>
      <c r="E52" s="76" t="s">
        <v>191</v>
      </c>
      <c r="F52" s="76" t="s">
        <v>32</v>
      </c>
      <c r="G52" s="79" t="s">
        <v>117</v>
      </c>
      <c r="H52" s="85">
        <v>1200</v>
      </c>
      <c r="I52" s="80">
        <v>1200</v>
      </c>
      <c r="J52" s="81">
        <v>624.88</v>
      </c>
      <c r="K52" s="81">
        <f t="shared" si="0"/>
        <v>575.12</v>
      </c>
      <c r="L52" s="82" t="s">
        <v>242</v>
      </c>
    </row>
    <row r="53" spans="1:12" s="83" customFormat="1" x14ac:dyDescent="0.25">
      <c r="A53" s="76" t="s">
        <v>203</v>
      </c>
      <c r="B53" s="77">
        <v>1027</v>
      </c>
      <c r="C53" s="78"/>
      <c r="D53" s="76" t="s">
        <v>194</v>
      </c>
      <c r="E53" s="76" t="s">
        <v>191</v>
      </c>
      <c r="F53" s="76" t="s">
        <v>14</v>
      </c>
      <c r="G53" s="79" t="s">
        <v>117</v>
      </c>
      <c r="H53" s="84">
        <v>1200</v>
      </c>
      <c r="I53" s="84">
        <v>1428</v>
      </c>
      <c r="J53" s="81">
        <v>0</v>
      </c>
      <c r="K53" s="81">
        <f t="shared" si="0"/>
        <v>1428</v>
      </c>
      <c r="L53" s="82" t="s">
        <v>192</v>
      </c>
    </row>
    <row r="54" spans="1:12" s="83" customFormat="1" x14ac:dyDescent="0.25">
      <c r="A54" s="76" t="s">
        <v>204</v>
      </c>
      <c r="B54" s="77">
        <v>1028</v>
      </c>
      <c r="C54" s="78"/>
      <c r="D54" s="76" t="s">
        <v>194</v>
      </c>
      <c r="E54" s="76" t="s">
        <v>191</v>
      </c>
      <c r="F54" s="76" t="s">
        <v>42</v>
      </c>
      <c r="G54" s="79" t="s">
        <v>117</v>
      </c>
      <c r="H54" s="84">
        <v>1200</v>
      </c>
      <c r="I54" s="84">
        <v>1428</v>
      </c>
      <c r="J54" s="81">
        <v>0</v>
      </c>
      <c r="K54" s="81">
        <f t="shared" si="0"/>
        <v>1428</v>
      </c>
      <c r="L54" s="82" t="s">
        <v>192</v>
      </c>
    </row>
    <row r="55" spans="1:12" s="83" customFormat="1" x14ac:dyDescent="0.25">
      <c r="A55" s="86" t="s">
        <v>205</v>
      </c>
      <c r="B55" s="87">
        <v>2106</v>
      </c>
      <c r="C55" s="88"/>
      <c r="D55" s="86" t="s">
        <v>206</v>
      </c>
      <c r="E55" s="86" t="s">
        <v>206</v>
      </c>
      <c r="F55" s="86" t="s">
        <v>207</v>
      </c>
      <c r="G55" s="89" t="s">
        <v>112</v>
      </c>
      <c r="H55" s="90">
        <v>3666.67</v>
      </c>
      <c r="I55" s="90">
        <v>3666.67</v>
      </c>
      <c r="J55" s="91">
        <v>0</v>
      </c>
      <c r="K55" s="91">
        <f t="shared" si="0"/>
        <v>3666.67</v>
      </c>
      <c r="L55" s="111" t="s">
        <v>208</v>
      </c>
    </row>
    <row r="56" spans="1:12" s="83" customFormat="1" x14ac:dyDescent="0.25">
      <c r="A56" s="86" t="s">
        <v>209</v>
      </c>
      <c r="B56" s="87">
        <v>2107</v>
      </c>
      <c r="C56" s="88"/>
      <c r="D56" s="86" t="s">
        <v>206</v>
      </c>
      <c r="E56" s="86" t="s">
        <v>206</v>
      </c>
      <c r="F56" s="86" t="s">
        <v>207</v>
      </c>
      <c r="G56" s="89" t="s">
        <v>112</v>
      </c>
      <c r="H56" s="90">
        <v>2625</v>
      </c>
      <c r="I56" s="90">
        <f>2625</f>
        <v>2625</v>
      </c>
      <c r="J56" s="91">
        <v>0</v>
      </c>
      <c r="K56" s="91">
        <f t="shared" si="0"/>
        <v>2625</v>
      </c>
      <c r="L56" s="92" t="s">
        <v>208</v>
      </c>
    </row>
    <row r="57" spans="1:12" s="83" customFormat="1" x14ac:dyDescent="0.25">
      <c r="A57" s="86" t="s">
        <v>210</v>
      </c>
      <c r="B57" s="87">
        <v>2108</v>
      </c>
      <c r="C57" s="88"/>
      <c r="D57" s="86" t="s">
        <v>206</v>
      </c>
      <c r="E57" s="86" t="s">
        <v>206</v>
      </c>
      <c r="F57" s="86" t="s">
        <v>207</v>
      </c>
      <c r="G57" s="89" t="s">
        <v>112</v>
      </c>
      <c r="H57" s="90">
        <v>2625</v>
      </c>
      <c r="I57" s="90">
        <v>2625</v>
      </c>
      <c r="J57" s="91">
        <v>0</v>
      </c>
      <c r="K57" s="91">
        <f t="shared" si="0"/>
        <v>2625</v>
      </c>
      <c r="L57" s="92" t="s">
        <v>208</v>
      </c>
    </row>
    <row r="58" spans="1:12" s="93" customFormat="1" x14ac:dyDescent="0.25">
      <c r="A58" s="86" t="s">
        <v>211</v>
      </c>
      <c r="B58" s="87">
        <v>2091</v>
      </c>
      <c r="C58" s="88"/>
      <c r="D58" s="86" t="s">
        <v>206</v>
      </c>
      <c r="E58" s="86" t="s">
        <v>206</v>
      </c>
      <c r="F58" s="86" t="s">
        <v>212</v>
      </c>
      <c r="G58" s="89" t="s">
        <v>112</v>
      </c>
      <c r="H58" s="91">
        <v>5500</v>
      </c>
      <c r="I58" s="91">
        <v>5500</v>
      </c>
      <c r="J58" s="91">
        <v>0</v>
      </c>
      <c r="K58" s="91">
        <f t="shared" si="0"/>
        <v>5500</v>
      </c>
      <c r="L58" s="94" t="s">
        <v>213</v>
      </c>
    </row>
    <row r="59" spans="1:12" s="93" customFormat="1" x14ac:dyDescent="0.25">
      <c r="A59" s="86" t="s">
        <v>214</v>
      </c>
      <c r="B59" s="87">
        <v>2104</v>
      </c>
      <c r="C59" s="88"/>
      <c r="D59" s="86" t="s">
        <v>206</v>
      </c>
      <c r="E59" s="86" t="s">
        <v>206</v>
      </c>
      <c r="F59" s="86" t="s">
        <v>207</v>
      </c>
      <c r="G59" s="89" t="s">
        <v>112</v>
      </c>
      <c r="H59" s="90">
        <v>12500</v>
      </c>
      <c r="I59" s="90">
        <v>12500</v>
      </c>
      <c r="J59" s="91">
        <v>0</v>
      </c>
      <c r="K59" s="91">
        <f t="shared" si="0"/>
        <v>12500</v>
      </c>
      <c r="L59" s="92" t="s">
        <v>208</v>
      </c>
    </row>
    <row r="60" spans="1:12" s="93" customFormat="1" x14ac:dyDescent="0.25">
      <c r="A60" s="86" t="s">
        <v>216</v>
      </c>
      <c r="B60" s="87">
        <v>2109</v>
      </c>
      <c r="C60" s="88"/>
      <c r="D60" s="86" t="s">
        <v>206</v>
      </c>
      <c r="E60" s="86" t="s">
        <v>206</v>
      </c>
      <c r="F60" s="86" t="s">
        <v>207</v>
      </c>
      <c r="G60" s="89" t="s">
        <v>112</v>
      </c>
      <c r="H60" s="90">
        <v>2625</v>
      </c>
      <c r="I60" s="90">
        <v>2625</v>
      </c>
      <c r="J60" s="91">
        <v>0</v>
      </c>
      <c r="K60" s="91">
        <f t="shared" si="0"/>
        <v>2625</v>
      </c>
      <c r="L60" s="92" t="s">
        <v>208</v>
      </c>
    </row>
    <row r="61" spans="1:12" s="93" customFormat="1" x14ac:dyDescent="0.25">
      <c r="A61" s="86" t="s">
        <v>218</v>
      </c>
      <c r="B61" s="87">
        <v>2110</v>
      </c>
      <c r="C61" s="88"/>
      <c r="D61" s="86" t="s">
        <v>206</v>
      </c>
      <c r="E61" s="86" t="s">
        <v>206</v>
      </c>
      <c r="F61" s="86" t="s">
        <v>207</v>
      </c>
      <c r="G61" s="89" t="s">
        <v>112</v>
      </c>
      <c r="H61" s="90">
        <v>5500</v>
      </c>
      <c r="I61" s="90">
        <v>5500</v>
      </c>
      <c r="J61" s="91">
        <v>0</v>
      </c>
      <c r="K61" s="91">
        <f t="shared" si="0"/>
        <v>5500</v>
      </c>
      <c r="L61" s="92" t="s">
        <v>208</v>
      </c>
    </row>
    <row r="62" spans="1:12" s="100" customFormat="1" x14ac:dyDescent="0.25">
      <c r="A62" s="95"/>
      <c r="B62" s="96"/>
      <c r="C62" s="96" t="s">
        <v>219</v>
      </c>
      <c r="D62" s="95"/>
      <c r="E62" s="95"/>
      <c r="F62" s="95"/>
      <c r="G62" s="97"/>
      <c r="H62" s="98">
        <f>SUM(H2:H61)</f>
        <v>510424.75000000006</v>
      </c>
      <c r="I62" s="98">
        <f>SUM(I2:I61)</f>
        <v>617811.57999999996</v>
      </c>
      <c r="J62" s="98">
        <f>SUM(J2:J61)</f>
        <v>155625.55999999997</v>
      </c>
      <c r="K62" s="98">
        <f>SUM(K2:K61)</f>
        <v>462186.0199999999</v>
      </c>
      <c r="L62" s="99"/>
    </row>
    <row r="63" spans="1:12" x14ac:dyDescent="0.25">
      <c r="I63" s="105"/>
      <c r="J63" s="106"/>
      <c r="K63" s="106"/>
    </row>
    <row r="64" spans="1:12" x14ac:dyDescent="0.25">
      <c r="I64" s="105"/>
      <c r="K64" s="105"/>
    </row>
    <row r="65" spans="1:12" s="104" customFormat="1" x14ac:dyDescent="0.25">
      <c r="A65" s="101"/>
      <c r="B65" s="102"/>
      <c r="C65" s="102"/>
      <c r="D65" s="101"/>
      <c r="E65" s="101"/>
      <c r="F65" s="101"/>
      <c r="G65" s="103"/>
      <c r="I65" s="105"/>
      <c r="L65" s="107"/>
    </row>
    <row r="66" spans="1:12" x14ac:dyDescent="0.25">
      <c r="I66" s="105"/>
      <c r="K66" s="105"/>
    </row>
  </sheetData>
  <autoFilter ref="A1:O66" xr:uid="{F4064140-040D-4F65-887A-D65371FCFCDC}"/>
  <pageMargins left="0.511811024" right="0.511811024" top="0.78740157499999996" bottom="0.78740157499999996" header="0.31496062000000002" footer="0.31496062000000002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F42EB5-338A-4175-BFA0-0EBB9B470059}">
  <dimension ref="A1:O68"/>
  <sheetViews>
    <sheetView topLeftCell="A9" zoomScaleNormal="100" workbookViewId="0">
      <selection activeCell="L29" sqref="L29"/>
    </sheetView>
  </sheetViews>
  <sheetFormatPr defaultColWidth="8.7109375" defaultRowHeight="15.75" x14ac:dyDescent="0.25"/>
  <cols>
    <col min="1" max="1" width="33.42578125" style="101" customWidth="1"/>
    <col min="2" max="2" width="6.5703125" style="102" customWidth="1"/>
    <col min="3" max="3" width="7.85546875" style="102" customWidth="1"/>
    <col min="4" max="4" width="11.7109375" style="101" bestFit="1" customWidth="1"/>
    <col min="5" max="5" width="11.85546875" style="101" customWidth="1"/>
    <col min="6" max="6" width="7.28515625" style="101" customWidth="1"/>
    <col min="7" max="7" width="11.28515625" style="103" customWidth="1"/>
    <col min="8" max="10" width="16.7109375" style="104" customWidth="1"/>
    <col min="11" max="11" width="16.7109375" style="117" customWidth="1"/>
    <col min="12" max="12" width="76.42578125" style="107" customWidth="1"/>
    <col min="13" max="14" width="8.7109375" style="108"/>
    <col min="15" max="15" width="11.5703125" style="108" bestFit="1" customWidth="1"/>
    <col min="16" max="16384" width="8.7109375" style="108"/>
  </cols>
  <sheetData>
    <row r="1" spans="1:12" s="38" customFormat="1" ht="25.5" customHeight="1" x14ac:dyDescent="0.25">
      <c r="A1" s="32" t="s">
        <v>77</v>
      </c>
      <c r="B1" s="33" t="s">
        <v>78</v>
      </c>
      <c r="C1" s="32" t="s">
        <v>79</v>
      </c>
      <c r="D1" s="34" t="s">
        <v>80</v>
      </c>
      <c r="E1" s="34" t="s">
        <v>81</v>
      </c>
      <c r="F1" s="34" t="s">
        <v>82</v>
      </c>
      <c r="G1" s="35" t="s">
        <v>83</v>
      </c>
      <c r="H1" s="36" t="s">
        <v>84</v>
      </c>
      <c r="I1" s="36" t="s">
        <v>85</v>
      </c>
      <c r="J1" s="36" t="s">
        <v>86</v>
      </c>
      <c r="K1" s="114" t="s">
        <v>87</v>
      </c>
      <c r="L1" s="37" t="s">
        <v>88</v>
      </c>
    </row>
    <row r="2" spans="1:12" s="45" customFormat="1" x14ac:dyDescent="0.25">
      <c r="A2" s="39" t="s">
        <v>89</v>
      </c>
      <c r="B2" s="40" t="s">
        <v>90</v>
      </c>
      <c r="C2" s="41" t="s">
        <v>91</v>
      </c>
      <c r="D2" s="39" t="s">
        <v>92</v>
      </c>
      <c r="E2" s="39" t="s">
        <v>93</v>
      </c>
      <c r="F2" s="39" t="s">
        <v>94</v>
      </c>
      <c r="G2" s="42"/>
      <c r="H2" s="43">
        <v>34993.339999999997</v>
      </c>
      <c r="I2" s="43">
        <f>38167.32+17119.65</f>
        <v>55286.97</v>
      </c>
      <c r="J2" s="43">
        <v>9388.34</v>
      </c>
      <c r="K2" s="43">
        <f>SUM(I2-J2)</f>
        <v>45898.630000000005</v>
      </c>
      <c r="L2" s="44" t="s">
        <v>95</v>
      </c>
    </row>
    <row r="3" spans="1:12" s="45" customFormat="1" x14ac:dyDescent="0.25">
      <c r="A3" s="39" t="s">
        <v>96</v>
      </c>
      <c r="B3" s="40" t="s">
        <v>97</v>
      </c>
      <c r="C3" s="41" t="s">
        <v>98</v>
      </c>
      <c r="D3" s="39" t="s">
        <v>92</v>
      </c>
      <c r="E3" s="39" t="s">
        <v>99</v>
      </c>
      <c r="F3" s="39" t="s">
        <v>22</v>
      </c>
      <c r="G3" s="42"/>
      <c r="H3" s="43">
        <v>32908.57</v>
      </c>
      <c r="I3" s="43">
        <v>35504.81</v>
      </c>
      <c r="J3" s="43">
        <v>8752.27</v>
      </c>
      <c r="K3" s="43">
        <f t="shared" ref="K3:K11" si="0">I3-J3</f>
        <v>26752.539999999997</v>
      </c>
      <c r="L3" s="44" t="s">
        <v>220</v>
      </c>
    </row>
    <row r="4" spans="1:12" s="45" customFormat="1" x14ac:dyDescent="0.25">
      <c r="A4" s="39" t="s">
        <v>101</v>
      </c>
      <c r="B4" s="40" t="s">
        <v>102</v>
      </c>
      <c r="C4" s="41" t="s">
        <v>98</v>
      </c>
      <c r="D4" s="39" t="s">
        <v>92</v>
      </c>
      <c r="E4" s="39" t="s">
        <v>99</v>
      </c>
      <c r="F4" s="39" t="s">
        <v>24</v>
      </c>
      <c r="G4" s="42"/>
      <c r="H4" s="43">
        <v>32908.57</v>
      </c>
      <c r="I4" s="110">
        <f>32908.57+4454.4</f>
        <v>37362.97</v>
      </c>
      <c r="J4" s="43">
        <v>8850.16</v>
      </c>
      <c r="K4" s="43">
        <f t="shared" si="0"/>
        <v>28512.81</v>
      </c>
      <c r="L4" s="44" t="s">
        <v>103</v>
      </c>
    </row>
    <row r="5" spans="1:12" s="53" customFormat="1" x14ac:dyDescent="0.25">
      <c r="A5" s="46" t="s">
        <v>104</v>
      </c>
      <c r="B5" s="47">
        <v>95</v>
      </c>
      <c r="C5" s="48" t="s">
        <v>105</v>
      </c>
      <c r="D5" s="46" t="s">
        <v>92</v>
      </c>
      <c r="E5" s="46" t="s">
        <v>106</v>
      </c>
      <c r="F5" s="46" t="s">
        <v>28</v>
      </c>
      <c r="G5" s="49"/>
      <c r="H5" s="50">
        <v>5208.1400000000003</v>
      </c>
      <c r="I5" s="112">
        <f>5208.14</f>
        <v>5208.1400000000003</v>
      </c>
      <c r="J5" s="112">
        <v>381.98</v>
      </c>
      <c r="K5" s="43">
        <f t="shared" si="0"/>
        <v>4826.16</v>
      </c>
      <c r="L5" s="52" t="s">
        <v>222</v>
      </c>
    </row>
    <row r="6" spans="1:12" s="53" customFormat="1" x14ac:dyDescent="0.25">
      <c r="A6" s="46" t="s">
        <v>108</v>
      </c>
      <c r="B6" s="47" t="s">
        <v>109</v>
      </c>
      <c r="C6" s="48" t="s">
        <v>105</v>
      </c>
      <c r="D6" s="46" t="s">
        <v>92</v>
      </c>
      <c r="E6" s="54" t="s">
        <v>106</v>
      </c>
      <c r="F6" s="46" t="s">
        <v>26</v>
      </c>
      <c r="G6" s="49"/>
      <c r="H6" s="50">
        <v>5208.1400000000003</v>
      </c>
      <c r="I6" s="112">
        <f>5208.14+1446.7+1736.05+5858.25</f>
        <v>14249.14</v>
      </c>
      <c r="J6" s="112">
        <v>1266.79</v>
      </c>
      <c r="K6" s="43">
        <f t="shared" si="0"/>
        <v>12982.349999999999</v>
      </c>
      <c r="L6" s="52" t="s">
        <v>246</v>
      </c>
    </row>
    <row r="7" spans="1:12" s="63" customFormat="1" x14ac:dyDescent="0.25">
      <c r="A7" s="55" t="s">
        <v>110</v>
      </c>
      <c r="B7" s="56">
        <v>92</v>
      </c>
      <c r="C7" s="57"/>
      <c r="D7" s="55"/>
      <c r="E7" s="58" t="s">
        <v>111</v>
      </c>
      <c r="F7" s="58" t="s">
        <v>20</v>
      </c>
      <c r="G7" s="59" t="s">
        <v>112</v>
      </c>
      <c r="H7" s="60">
        <v>0</v>
      </c>
      <c r="I7" s="113">
        <v>1971</v>
      </c>
      <c r="J7" s="113">
        <v>0</v>
      </c>
      <c r="K7" s="60">
        <f t="shared" si="0"/>
        <v>1971</v>
      </c>
      <c r="L7" s="62" t="s">
        <v>115</v>
      </c>
    </row>
    <row r="8" spans="1:12" s="63" customFormat="1" x14ac:dyDescent="0.25">
      <c r="A8" s="55" t="s">
        <v>113</v>
      </c>
      <c r="B8" s="56">
        <v>93</v>
      </c>
      <c r="C8" s="57"/>
      <c r="D8" s="55"/>
      <c r="E8" s="58" t="s">
        <v>111</v>
      </c>
      <c r="F8" s="58" t="s">
        <v>245</v>
      </c>
      <c r="G8" s="59"/>
      <c r="H8" s="60">
        <v>0</v>
      </c>
      <c r="I8" s="113">
        <v>2628</v>
      </c>
      <c r="J8" s="113">
        <v>0</v>
      </c>
      <c r="K8" s="60">
        <f t="shared" si="0"/>
        <v>2628</v>
      </c>
      <c r="L8" s="62" t="s">
        <v>115</v>
      </c>
    </row>
    <row r="9" spans="1:12" s="63" customFormat="1" x14ac:dyDescent="0.25">
      <c r="A9" s="55" t="s">
        <v>114</v>
      </c>
      <c r="B9" s="56">
        <v>90</v>
      </c>
      <c r="C9" s="57"/>
      <c r="D9" s="55"/>
      <c r="E9" s="58" t="s">
        <v>111</v>
      </c>
      <c r="F9" s="58" t="s">
        <v>14</v>
      </c>
      <c r="G9" s="59" t="s">
        <v>112</v>
      </c>
      <c r="H9" s="60">
        <v>0</v>
      </c>
      <c r="I9" s="113">
        <v>3613.5</v>
      </c>
      <c r="J9" s="113">
        <v>0</v>
      </c>
      <c r="K9" s="60">
        <f t="shared" si="0"/>
        <v>3613.5</v>
      </c>
      <c r="L9" s="62" t="s">
        <v>115</v>
      </c>
    </row>
    <row r="10" spans="1:12" s="63" customFormat="1" x14ac:dyDescent="0.25">
      <c r="A10" s="55" t="s">
        <v>243</v>
      </c>
      <c r="B10" s="56">
        <v>98</v>
      </c>
      <c r="C10" s="57"/>
      <c r="D10" s="55"/>
      <c r="E10" s="58" t="s">
        <v>244</v>
      </c>
      <c r="F10" s="58" t="s">
        <v>245</v>
      </c>
      <c r="G10" s="59"/>
      <c r="H10" s="60">
        <v>0</v>
      </c>
      <c r="I10" s="113">
        <v>1642.5</v>
      </c>
      <c r="J10" s="113">
        <v>0</v>
      </c>
      <c r="K10" s="60">
        <f t="shared" si="0"/>
        <v>1642.5</v>
      </c>
      <c r="L10" s="62" t="s">
        <v>115</v>
      </c>
    </row>
    <row r="11" spans="1:12" s="63" customFormat="1" x14ac:dyDescent="0.25">
      <c r="A11" s="55" t="s">
        <v>116</v>
      </c>
      <c r="B11" s="56">
        <v>91</v>
      </c>
      <c r="C11" s="57"/>
      <c r="D11" s="55"/>
      <c r="E11" s="58" t="s">
        <v>111</v>
      </c>
      <c r="F11" s="58" t="s">
        <v>18</v>
      </c>
      <c r="G11" s="59" t="s">
        <v>117</v>
      </c>
      <c r="H11" s="60">
        <v>0</v>
      </c>
      <c r="I11" s="60">
        <v>0</v>
      </c>
      <c r="J11" s="60">
        <v>0</v>
      </c>
      <c r="K11" s="60">
        <f t="shared" si="0"/>
        <v>0</v>
      </c>
      <c r="L11" s="62"/>
    </row>
    <row r="12" spans="1:12" s="63" customFormat="1" x14ac:dyDescent="0.25">
      <c r="A12" s="55" t="s">
        <v>118</v>
      </c>
      <c r="B12" s="56">
        <v>94</v>
      </c>
      <c r="C12" s="57"/>
      <c r="D12" s="55"/>
      <c r="E12" s="58" t="s">
        <v>111</v>
      </c>
      <c r="F12" s="58" t="s">
        <v>16</v>
      </c>
      <c r="G12" s="59"/>
      <c r="H12" s="60">
        <v>0</v>
      </c>
      <c r="I12" s="60">
        <v>0</v>
      </c>
      <c r="J12" s="60">
        <v>0</v>
      </c>
      <c r="K12" s="60">
        <f t="shared" ref="K12:K63" si="1">I12-J12</f>
        <v>0</v>
      </c>
      <c r="L12" s="62"/>
    </row>
    <row r="13" spans="1:12" s="71" customFormat="1" x14ac:dyDescent="0.25">
      <c r="A13" s="64" t="s">
        <v>119</v>
      </c>
      <c r="B13" s="65">
        <v>88</v>
      </c>
      <c r="C13" s="66" t="s">
        <v>120</v>
      </c>
      <c r="D13" s="64" t="s">
        <v>121</v>
      </c>
      <c r="E13" s="64" t="s">
        <v>122</v>
      </c>
      <c r="F13" s="64" t="s">
        <v>42</v>
      </c>
      <c r="G13" s="67" t="s">
        <v>112</v>
      </c>
      <c r="H13" s="68">
        <v>9474.9</v>
      </c>
      <c r="I13" s="68">
        <v>9474.9</v>
      </c>
      <c r="J13" s="68">
        <v>2428.84</v>
      </c>
      <c r="K13" s="69">
        <f t="shared" ref="K13:K26" si="2">I13-J13</f>
        <v>7046.0599999999995</v>
      </c>
      <c r="L13" s="70" t="s">
        <v>223</v>
      </c>
    </row>
    <row r="14" spans="1:12" s="71" customFormat="1" x14ac:dyDescent="0.25">
      <c r="A14" s="64" t="s">
        <v>124</v>
      </c>
      <c r="B14" s="65">
        <v>84</v>
      </c>
      <c r="C14" s="66" t="s">
        <v>120</v>
      </c>
      <c r="D14" s="64" t="s">
        <v>121</v>
      </c>
      <c r="E14" s="64" t="s">
        <v>122</v>
      </c>
      <c r="F14" s="64" t="s">
        <v>42</v>
      </c>
      <c r="G14" s="67" t="s">
        <v>112</v>
      </c>
      <c r="H14" s="68">
        <v>9474.9</v>
      </c>
      <c r="I14" s="68">
        <v>9474.9</v>
      </c>
      <c r="J14" s="68">
        <v>2410.14</v>
      </c>
      <c r="K14" s="69">
        <f t="shared" si="2"/>
        <v>7064.76</v>
      </c>
      <c r="L14" s="70" t="s">
        <v>223</v>
      </c>
    </row>
    <row r="15" spans="1:12" s="71" customFormat="1" ht="15.75" customHeight="1" x14ac:dyDescent="0.25">
      <c r="A15" s="64" t="s">
        <v>125</v>
      </c>
      <c r="B15" s="65">
        <v>80</v>
      </c>
      <c r="C15" s="66" t="s">
        <v>126</v>
      </c>
      <c r="D15" s="64" t="s">
        <v>127</v>
      </c>
      <c r="E15" s="64" t="s">
        <v>128</v>
      </c>
      <c r="F15" s="64" t="s">
        <v>44</v>
      </c>
      <c r="G15" s="67" t="s">
        <v>112</v>
      </c>
      <c r="H15" s="68">
        <v>14011.1</v>
      </c>
      <c r="I15" s="68">
        <v>14571.54</v>
      </c>
      <c r="J15" s="68">
        <v>3953.43</v>
      </c>
      <c r="K15" s="69">
        <f t="shared" si="2"/>
        <v>10618.11</v>
      </c>
      <c r="L15" s="70" t="s">
        <v>223</v>
      </c>
    </row>
    <row r="16" spans="1:12" s="71" customFormat="1" ht="15.75" customHeight="1" x14ac:dyDescent="0.25">
      <c r="A16" s="64" t="s">
        <v>129</v>
      </c>
      <c r="B16" s="65">
        <v>54</v>
      </c>
      <c r="C16" s="66" t="s">
        <v>130</v>
      </c>
      <c r="D16" s="64" t="s">
        <v>53</v>
      </c>
      <c r="E16" s="64" t="s">
        <v>128</v>
      </c>
      <c r="F16" s="64" t="s">
        <v>46</v>
      </c>
      <c r="G16" s="67" t="s">
        <v>112</v>
      </c>
      <c r="H16" s="68">
        <v>9680.8799999999992</v>
      </c>
      <c r="I16" s="68">
        <v>13261.21</v>
      </c>
      <c r="J16" s="68">
        <v>3514.5</v>
      </c>
      <c r="K16" s="69">
        <f t="shared" si="2"/>
        <v>9746.7099999999991</v>
      </c>
      <c r="L16" s="70" t="s">
        <v>224</v>
      </c>
    </row>
    <row r="17" spans="1:15" s="71" customFormat="1" x14ac:dyDescent="0.25">
      <c r="A17" s="64" t="s">
        <v>132</v>
      </c>
      <c r="B17" s="65">
        <v>4</v>
      </c>
      <c r="C17" s="66" t="s">
        <v>133</v>
      </c>
      <c r="D17" s="64" t="s">
        <v>127</v>
      </c>
      <c r="E17" s="64" t="s">
        <v>122</v>
      </c>
      <c r="F17" s="64" t="s">
        <v>44</v>
      </c>
      <c r="G17" s="67" t="s">
        <v>112</v>
      </c>
      <c r="H17" s="68">
        <v>16500.2</v>
      </c>
      <c r="I17" s="68">
        <v>17820.22</v>
      </c>
      <c r="J17" s="68">
        <v>4855.3900000000003</v>
      </c>
      <c r="K17" s="69">
        <f t="shared" si="2"/>
        <v>12964.830000000002</v>
      </c>
      <c r="L17" s="70" t="s">
        <v>223</v>
      </c>
      <c r="O17" s="109"/>
    </row>
    <row r="18" spans="1:15" s="71" customFormat="1" x14ac:dyDescent="0.25">
      <c r="A18" s="64" t="s">
        <v>134</v>
      </c>
      <c r="B18" s="65">
        <v>85</v>
      </c>
      <c r="C18" s="66" t="s">
        <v>120</v>
      </c>
      <c r="D18" s="64" t="s">
        <v>121</v>
      </c>
      <c r="E18" s="64" t="s">
        <v>122</v>
      </c>
      <c r="F18" s="64" t="s">
        <v>48</v>
      </c>
      <c r="G18" s="67" t="s">
        <v>112</v>
      </c>
      <c r="H18" s="68">
        <v>9474.9</v>
      </c>
      <c r="I18" s="72">
        <f>9986.53+438</f>
        <v>10424.530000000001</v>
      </c>
      <c r="J18" s="68">
        <v>2435.5500000000002</v>
      </c>
      <c r="K18" s="69">
        <f t="shared" si="2"/>
        <v>7988.9800000000005</v>
      </c>
      <c r="L18" s="70" t="s">
        <v>248</v>
      </c>
      <c r="O18" s="109"/>
    </row>
    <row r="19" spans="1:15" s="71" customFormat="1" ht="15.75" customHeight="1" x14ac:dyDescent="0.25">
      <c r="A19" s="64" t="s">
        <v>136</v>
      </c>
      <c r="B19" s="65">
        <v>75</v>
      </c>
      <c r="C19" s="66" t="s">
        <v>130</v>
      </c>
      <c r="D19" s="64" t="s">
        <v>53</v>
      </c>
      <c r="E19" s="64" t="s">
        <v>128</v>
      </c>
      <c r="F19" s="64" t="s">
        <v>42</v>
      </c>
      <c r="G19" s="67" t="s">
        <v>112</v>
      </c>
      <c r="H19" s="68">
        <v>9680.8799999999992</v>
      </c>
      <c r="I19" s="68">
        <v>12537.16</v>
      </c>
      <c r="J19" s="68">
        <v>3123.28</v>
      </c>
      <c r="K19" s="69">
        <f t="shared" si="2"/>
        <v>9413.8799999999992</v>
      </c>
      <c r="L19" s="70" t="s">
        <v>226</v>
      </c>
    </row>
    <row r="20" spans="1:15" s="71" customFormat="1" x14ac:dyDescent="0.25">
      <c r="A20" s="64" t="s">
        <v>138</v>
      </c>
      <c r="B20" s="65">
        <v>57</v>
      </c>
      <c r="C20" s="66" t="s">
        <v>139</v>
      </c>
      <c r="D20" s="64" t="s">
        <v>127</v>
      </c>
      <c r="E20" s="64" t="s">
        <v>122</v>
      </c>
      <c r="F20" s="73" t="s">
        <v>64</v>
      </c>
      <c r="G20" s="67" t="s">
        <v>112</v>
      </c>
      <c r="H20" s="68">
        <v>13266.04</v>
      </c>
      <c r="I20" s="68">
        <v>15226.96</v>
      </c>
      <c r="J20" s="68">
        <v>3546.49</v>
      </c>
      <c r="K20" s="69">
        <f t="shared" si="2"/>
        <v>11680.47</v>
      </c>
      <c r="L20" s="70" t="s">
        <v>140</v>
      </c>
    </row>
    <row r="21" spans="1:15" s="71" customFormat="1" x14ac:dyDescent="0.25">
      <c r="A21" s="64" t="s">
        <v>141</v>
      </c>
      <c r="B21" s="65">
        <v>58</v>
      </c>
      <c r="C21" s="66" t="s">
        <v>142</v>
      </c>
      <c r="D21" s="64" t="s">
        <v>53</v>
      </c>
      <c r="E21" s="64" t="s">
        <v>143</v>
      </c>
      <c r="F21" s="73" t="s">
        <v>64</v>
      </c>
      <c r="G21" s="67" t="s">
        <v>112</v>
      </c>
      <c r="H21" s="68">
        <v>7575.14</v>
      </c>
      <c r="I21" s="68">
        <v>9839.18</v>
      </c>
      <c r="J21" s="68">
        <v>2108.54</v>
      </c>
      <c r="K21" s="69">
        <f t="shared" si="2"/>
        <v>7730.64</v>
      </c>
      <c r="L21" s="70" t="s">
        <v>227</v>
      </c>
    </row>
    <row r="22" spans="1:15" s="71" customFormat="1" x14ac:dyDescent="0.25">
      <c r="A22" s="64" t="s">
        <v>145</v>
      </c>
      <c r="B22" s="65">
        <v>14</v>
      </c>
      <c r="C22" s="66" t="s">
        <v>133</v>
      </c>
      <c r="D22" s="64" t="s">
        <v>127</v>
      </c>
      <c r="E22" s="64" t="s">
        <v>128</v>
      </c>
      <c r="F22" s="64" t="s">
        <v>36</v>
      </c>
      <c r="G22" s="67" t="s">
        <v>112</v>
      </c>
      <c r="H22" s="68">
        <v>16500.2</v>
      </c>
      <c r="I22" s="68">
        <v>19470.240000000002</v>
      </c>
      <c r="J22" s="68">
        <v>5236.0200000000004</v>
      </c>
      <c r="K22" s="69">
        <f t="shared" si="2"/>
        <v>14234.220000000001</v>
      </c>
      <c r="L22" s="70" t="s">
        <v>228</v>
      </c>
    </row>
    <row r="23" spans="1:15" s="71" customFormat="1" x14ac:dyDescent="0.25">
      <c r="A23" s="64" t="s">
        <v>147</v>
      </c>
      <c r="B23" s="65">
        <v>44</v>
      </c>
      <c r="C23" s="66" t="s">
        <v>148</v>
      </c>
      <c r="D23" s="64" t="s">
        <v>127</v>
      </c>
      <c r="E23" s="64" t="s">
        <v>122</v>
      </c>
      <c r="F23" s="64" t="s">
        <v>40</v>
      </c>
      <c r="G23" s="67" t="s">
        <v>112</v>
      </c>
      <c r="H23" s="68">
        <v>12564.1</v>
      </c>
      <c r="I23" s="68">
        <v>21176.66</v>
      </c>
      <c r="J23" s="68">
        <v>15717.36</v>
      </c>
      <c r="K23" s="69">
        <f t="shared" si="2"/>
        <v>5459.2999999999993</v>
      </c>
      <c r="L23" s="70" t="s">
        <v>247</v>
      </c>
    </row>
    <row r="24" spans="1:15" s="71" customFormat="1" x14ac:dyDescent="0.25">
      <c r="A24" s="64" t="s">
        <v>149</v>
      </c>
      <c r="B24" s="65">
        <v>61</v>
      </c>
      <c r="C24" s="66" t="s">
        <v>150</v>
      </c>
      <c r="D24" s="64" t="s">
        <v>121</v>
      </c>
      <c r="E24" s="64" t="s">
        <v>122</v>
      </c>
      <c r="F24" s="64" t="s">
        <v>34</v>
      </c>
      <c r="G24" s="67" t="s">
        <v>112</v>
      </c>
      <c r="H24" s="68">
        <v>12439.9</v>
      </c>
      <c r="I24" s="68">
        <v>13162.5</v>
      </c>
      <c r="J24" s="68">
        <v>3405.4</v>
      </c>
      <c r="K24" s="69">
        <f t="shared" si="2"/>
        <v>9757.1</v>
      </c>
      <c r="L24" s="70" t="s">
        <v>223</v>
      </c>
    </row>
    <row r="25" spans="1:15" s="71" customFormat="1" x14ac:dyDescent="0.25">
      <c r="A25" s="64" t="s">
        <v>151</v>
      </c>
      <c r="B25" s="65">
        <v>13</v>
      </c>
      <c r="C25" s="66" t="s">
        <v>133</v>
      </c>
      <c r="D25" s="64" t="s">
        <v>127</v>
      </c>
      <c r="E25" s="64" t="s">
        <v>128</v>
      </c>
      <c r="F25" s="64" t="s">
        <v>32</v>
      </c>
      <c r="G25" s="67" t="s">
        <v>112</v>
      </c>
      <c r="H25" s="68">
        <v>16500.2</v>
      </c>
      <c r="I25" s="68">
        <v>19470.240000000002</v>
      </c>
      <c r="J25" s="68">
        <v>5776.09</v>
      </c>
      <c r="K25" s="69">
        <f t="shared" si="2"/>
        <v>13694.150000000001</v>
      </c>
      <c r="L25" s="70" t="s">
        <v>228</v>
      </c>
    </row>
    <row r="26" spans="1:15" s="71" customFormat="1" x14ac:dyDescent="0.25">
      <c r="A26" s="64" t="s">
        <v>152</v>
      </c>
      <c r="B26" s="65">
        <v>73</v>
      </c>
      <c r="C26" s="66" t="s">
        <v>126</v>
      </c>
      <c r="D26" s="64" t="s">
        <v>127</v>
      </c>
      <c r="E26" s="64" t="s">
        <v>153</v>
      </c>
      <c r="F26" s="64" t="s">
        <v>40</v>
      </c>
      <c r="G26" s="67" t="s">
        <v>112</v>
      </c>
      <c r="H26" s="68">
        <v>14011.1</v>
      </c>
      <c r="I26" s="68">
        <v>16602.259999999998</v>
      </c>
      <c r="J26" s="68">
        <v>4273.25</v>
      </c>
      <c r="K26" s="69">
        <f t="shared" si="2"/>
        <v>12329.009999999998</v>
      </c>
      <c r="L26" s="70" t="s">
        <v>229</v>
      </c>
    </row>
    <row r="27" spans="1:15" s="71" customFormat="1" x14ac:dyDescent="0.25">
      <c r="A27" s="64" t="s">
        <v>155</v>
      </c>
      <c r="B27" s="65">
        <v>89</v>
      </c>
      <c r="C27" s="66" t="s">
        <v>120</v>
      </c>
      <c r="D27" s="64" t="s">
        <v>121</v>
      </c>
      <c r="E27" s="64" t="s">
        <v>122</v>
      </c>
      <c r="F27" s="64" t="s">
        <v>32</v>
      </c>
      <c r="G27" s="67" t="s">
        <v>112</v>
      </c>
      <c r="H27" s="68">
        <v>9474.9</v>
      </c>
      <c r="I27" s="68">
        <v>10422.39</v>
      </c>
      <c r="J27" s="68">
        <v>2670.7</v>
      </c>
      <c r="K27" s="69">
        <f t="shared" si="1"/>
        <v>7751.69</v>
      </c>
      <c r="L27" s="70" t="s">
        <v>228</v>
      </c>
    </row>
    <row r="28" spans="1:15" s="71" customFormat="1" x14ac:dyDescent="0.25">
      <c r="A28" s="64" t="s">
        <v>157</v>
      </c>
      <c r="B28" s="65">
        <v>60</v>
      </c>
      <c r="C28" s="66" t="s">
        <v>158</v>
      </c>
      <c r="D28" s="64" t="s">
        <v>92</v>
      </c>
      <c r="E28" s="64" t="s">
        <v>128</v>
      </c>
      <c r="F28" s="64" t="s">
        <v>16</v>
      </c>
      <c r="G28" s="67" t="s">
        <v>117</v>
      </c>
      <c r="H28" s="68">
        <v>18962.259999999998</v>
      </c>
      <c r="I28" s="68">
        <v>27825.26</v>
      </c>
      <c r="J28" s="68">
        <v>15164.66</v>
      </c>
      <c r="K28" s="69">
        <f>I28-J28</f>
        <v>12660.599999999999</v>
      </c>
      <c r="L28" s="70" t="s">
        <v>251</v>
      </c>
    </row>
    <row r="29" spans="1:15" s="71" customFormat="1" ht="15.75" customHeight="1" x14ac:dyDescent="0.25">
      <c r="A29" s="64" t="s">
        <v>160</v>
      </c>
      <c r="B29" s="65">
        <v>81</v>
      </c>
      <c r="C29" s="66" t="s">
        <v>161</v>
      </c>
      <c r="D29" s="64" t="s">
        <v>92</v>
      </c>
      <c r="E29" s="64" t="s">
        <v>162</v>
      </c>
      <c r="F29" s="64" t="s">
        <v>16</v>
      </c>
      <c r="G29" s="67" t="s">
        <v>117</v>
      </c>
      <c r="H29" s="68">
        <v>15766.65</v>
      </c>
      <c r="I29" s="68">
        <v>17658.64</v>
      </c>
      <c r="J29" s="68">
        <v>4917.78</v>
      </c>
      <c r="K29" s="69">
        <f t="shared" si="1"/>
        <v>12740.86</v>
      </c>
      <c r="L29" s="70" t="s">
        <v>284</v>
      </c>
    </row>
    <row r="30" spans="1:15" s="71" customFormat="1" ht="15.75" customHeight="1" x14ac:dyDescent="0.25">
      <c r="A30" s="64" t="s">
        <v>164</v>
      </c>
      <c r="B30" s="65">
        <v>76</v>
      </c>
      <c r="C30" s="66" t="s">
        <v>130</v>
      </c>
      <c r="D30" s="64" t="s">
        <v>53</v>
      </c>
      <c r="E30" s="64" t="s">
        <v>128</v>
      </c>
      <c r="F30" s="64" t="s">
        <v>48</v>
      </c>
      <c r="G30" s="67" t="s">
        <v>112</v>
      </c>
      <c r="H30" s="68">
        <v>9680.8799999999992</v>
      </c>
      <c r="I30" s="68">
        <f>13036.21+876</f>
        <v>13912.21</v>
      </c>
      <c r="J30" s="68">
        <v>4961.6099999999997</v>
      </c>
      <c r="K30" s="69">
        <f t="shared" si="1"/>
        <v>8950.5999999999985</v>
      </c>
      <c r="L30" s="70" t="s">
        <v>231</v>
      </c>
    </row>
    <row r="31" spans="1:15" s="71" customFormat="1" x14ac:dyDescent="0.25">
      <c r="A31" s="64" t="s">
        <v>166</v>
      </c>
      <c r="B31" s="65">
        <v>8</v>
      </c>
      <c r="C31" s="66" t="s">
        <v>167</v>
      </c>
      <c r="D31" s="64" t="s">
        <v>127</v>
      </c>
      <c r="E31" s="64" t="s">
        <v>128</v>
      </c>
      <c r="F31" s="64" t="s">
        <v>30</v>
      </c>
      <c r="G31" s="67" t="s">
        <v>112</v>
      </c>
      <c r="H31" s="68">
        <v>15622.31</v>
      </c>
      <c r="I31" s="68">
        <v>18434.32</v>
      </c>
      <c r="J31" s="68">
        <v>4873.9799999999996</v>
      </c>
      <c r="K31" s="69">
        <f t="shared" si="1"/>
        <v>13560.34</v>
      </c>
      <c r="L31" s="70" t="s">
        <v>228</v>
      </c>
    </row>
    <row r="32" spans="1:15" s="71" customFormat="1" x14ac:dyDescent="0.25">
      <c r="A32" s="64" t="s">
        <v>168</v>
      </c>
      <c r="B32" s="65">
        <v>79</v>
      </c>
      <c r="C32" s="66" t="s">
        <v>169</v>
      </c>
      <c r="D32" s="64" t="s">
        <v>53</v>
      </c>
      <c r="E32" s="64" t="s">
        <v>143</v>
      </c>
      <c r="F32" s="64" t="s">
        <v>30</v>
      </c>
      <c r="G32" s="67" t="s">
        <v>112</v>
      </c>
      <c r="H32" s="68">
        <v>8055.68</v>
      </c>
      <c r="I32" s="68">
        <v>9683.48</v>
      </c>
      <c r="J32" s="68">
        <v>2467.5</v>
      </c>
      <c r="K32" s="69">
        <f t="shared" si="1"/>
        <v>7215.98</v>
      </c>
      <c r="L32" s="70" t="s">
        <v>232</v>
      </c>
    </row>
    <row r="33" spans="1:12" s="71" customFormat="1" x14ac:dyDescent="0.25">
      <c r="A33" s="64" t="s">
        <v>171</v>
      </c>
      <c r="B33" s="65">
        <v>49</v>
      </c>
      <c r="C33" s="66" t="s">
        <v>169</v>
      </c>
      <c r="D33" s="64" t="s">
        <v>53</v>
      </c>
      <c r="E33" s="64" t="s">
        <v>143</v>
      </c>
      <c r="F33" s="64" t="s">
        <v>40</v>
      </c>
      <c r="G33" s="67" t="s">
        <v>112</v>
      </c>
      <c r="H33" s="68">
        <v>8055.68</v>
      </c>
      <c r="I33" s="68">
        <v>8877.91</v>
      </c>
      <c r="J33" s="68">
        <v>2260.63</v>
      </c>
      <c r="K33" s="69">
        <f t="shared" si="1"/>
        <v>6617.28</v>
      </c>
      <c r="L33" s="70" t="s">
        <v>233</v>
      </c>
    </row>
    <row r="34" spans="1:12" s="71" customFormat="1" x14ac:dyDescent="0.25">
      <c r="A34" s="64" t="s">
        <v>173</v>
      </c>
      <c r="B34" s="65">
        <v>86</v>
      </c>
      <c r="C34" s="66" t="s">
        <v>174</v>
      </c>
      <c r="D34" s="64" t="s">
        <v>121</v>
      </c>
      <c r="E34" s="64" t="s">
        <v>122</v>
      </c>
      <c r="F34" s="64" t="s">
        <v>36</v>
      </c>
      <c r="G34" s="67" t="s">
        <v>112</v>
      </c>
      <c r="H34" s="68">
        <v>8973.5300000000007</v>
      </c>
      <c r="I34" s="68">
        <v>8973.5300000000007</v>
      </c>
      <c r="J34" s="68">
        <v>2899.08</v>
      </c>
      <c r="K34" s="69">
        <f t="shared" si="1"/>
        <v>6074.4500000000007</v>
      </c>
      <c r="L34" s="70" t="s">
        <v>223</v>
      </c>
    </row>
    <row r="35" spans="1:12" s="71" customFormat="1" x14ac:dyDescent="0.25">
      <c r="A35" s="64" t="s">
        <v>175</v>
      </c>
      <c r="B35" s="65">
        <v>65</v>
      </c>
      <c r="C35" s="66" t="s">
        <v>176</v>
      </c>
      <c r="D35" s="64" t="s">
        <v>121</v>
      </c>
      <c r="E35" s="64" t="s">
        <v>122</v>
      </c>
      <c r="F35" s="64" t="s">
        <v>32</v>
      </c>
      <c r="G35" s="67" t="s">
        <v>112</v>
      </c>
      <c r="H35" s="68">
        <v>12439.9</v>
      </c>
      <c r="I35" s="68">
        <v>12937.5</v>
      </c>
      <c r="J35" s="68">
        <v>3351.74</v>
      </c>
      <c r="K35" s="69">
        <f t="shared" si="1"/>
        <v>9585.76</v>
      </c>
      <c r="L35" s="70" t="s">
        <v>223</v>
      </c>
    </row>
    <row r="36" spans="1:12" s="71" customFormat="1" ht="15.75" customHeight="1" x14ac:dyDescent="0.25">
      <c r="A36" s="64" t="s">
        <v>177</v>
      </c>
      <c r="B36" s="65">
        <v>35</v>
      </c>
      <c r="C36" s="66" t="s">
        <v>178</v>
      </c>
      <c r="D36" s="64" t="s">
        <v>53</v>
      </c>
      <c r="E36" s="64" t="s">
        <v>128</v>
      </c>
      <c r="F36" s="64" t="s">
        <v>34</v>
      </c>
      <c r="G36" s="67" t="s">
        <v>112</v>
      </c>
      <c r="H36" s="68">
        <v>9103.19</v>
      </c>
      <c r="I36" s="68">
        <v>11649.38</v>
      </c>
      <c r="J36" s="68">
        <v>3423.32</v>
      </c>
      <c r="K36" s="69">
        <f t="shared" si="1"/>
        <v>8226.06</v>
      </c>
      <c r="L36" s="70" t="s">
        <v>179</v>
      </c>
    </row>
    <row r="37" spans="1:12" s="71" customFormat="1" ht="15.75" customHeight="1" x14ac:dyDescent="0.25">
      <c r="A37" s="64" t="s">
        <v>180</v>
      </c>
      <c r="B37" s="65">
        <v>56</v>
      </c>
      <c r="C37" s="66" t="s">
        <v>133</v>
      </c>
      <c r="D37" s="64" t="s">
        <v>127</v>
      </c>
      <c r="E37" s="64" t="s">
        <v>128</v>
      </c>
      <c r="F37" s="64" t="s">
        <v>40</v>
      </c>
      <c r="G37" s="67" t="s">
        <v>112</v>
      </c>
      <c r="H37" s="68">
        <v>16500.2</v>
      </c>
      <c r="I37" s="68">
        <v>21453.599999999999</v>
      </c>
      <c r="J37" s="68">
        <v>9317.98</v>
      </c>
      <c r="K37" s="69">
        <f t="shared" si="1"/>
        <v>12135.619999999999</v>
      </c>
      <c r="L37" s="70" t="s">
        <v>249</v>
      </c>
    </row>
    <row r="38" spans="1:12" s="71" customFormat="1" x14ac:dyDescent="0.25">
      <c r="A38" s="64" t="s">
        <v>182</v>
      </c>
      <c r="B38" s="65">
        <v>34</v>
      </c>
      <c r="C38" s="66" t="s">
        <v>130</v>
      </c>
      <c r="D38" s="64" t="s">
        <v>53</v>
      </c>
      <c r="E38" s="64" t="s">
        <v>143</v>
      </c>
      <c r="F38" s="64" t="s">
        <v>34</v>
      </c>
      <c r="G38" s="67" t="s">
        <v>112</v>
      </c>
      <c r="H38" s="68">
        <v>9680.8799999999992</v>
      </c>
      <c r="I38" s="68">
        <v>10761.73</v>
      </c>
      <c r="J38" s="68">
        <v>2764.02</v>
      </c>
      <c r="K38" s="69">
        <f t="shared" si="1"/>
        <v>7997.7099999999991</v>
      </c>
      <c r="L38" s="70" t="s">
        <v>233</v>
      </c>
    </row>
    <row r="39" spans="1:12" s="71" customFormat="1" x14ac:dyDescent="0.25">
      <c r="A39" s="64" t="s">
        <v>183</v>
      </c>
      <c r="B39" s="65">
        <v>69</v>
      </c>
      <c r="C39" s="66" t="s">
        <v>139</v>
      </c>
      <c r="D39" s="64" t="s">
        <v>127</v>
      </c>
      <c r="E39" s="64" t="s">
        <v>184</v>
      </c>
      <c r="F39" s="64" t="s">
        <v>10</v>
      </c>
      <c r="G39" s="67" t="s">
        <v>185</v>
      </c>
      <c r="H39" s="68">
        <v>13266.04</v>
      </c>
      <c r="I39" s="68">
        <f>15498.11+876</f>
        <v>16374.11</v>
      </c>
      <c r="J39" s="68">
        <v>3494.36</v>
      </c>
      <c r="K39" s="69">
        <f t="shared" si="1"/>
        <v>12879.75</v>
      </c>
      <c r="L39" s="70" t="s">
        <v>250</v>
      </c>
    </row>
    <row r="40" spans="1:12" s="71" customFormat="1" x14ac:dyDescent="0.25">
      <c r="A40" s="64" t="s">
        <v>187</v>
      </c>
      <c r="B40" s="65">
        <v>51</v>
      </c>
      <c r="C40" s="66" t="s">
        <v>169</v>
      </c>
      <c r="D40" s="64" t="s">
        <v>53</v>
      </c>
      <c r="E40" s="64" t="s">
        <v>143</v>
      </c>
      <c r="F40" s="64" t="s">
        <v>36</v>
      </c>
      <c r="G40" s="67" t="s">
        <v>112</v>
      </c>
      <c r="H40" s="68">
        <v>8055.68</v>
      </c>
      <c r="I40" s="68">
        <v>9474.9</v>
      </c>
      <c r="J40" s="68">
        <v>2594.5100000000002</v>
      </c>
      <c r="K40" s="69">
        <f t="shared" si="1"/>
        <v>6880.3899999999994</v>
      </c>
      <c r="L40" s="70" t="s">
        <v>233</v>
      </c>
    </row>
    <row r="41" spans="1:12" s="71" customFormat="1" x14ac:dyDescent="0.25">
      <c r="A41" s="64" t="s">
        <v>188</v>
      </c>
      <c r="B41" s="65">
        <v>70</v>
      </c>
      <c r="C41" s="66" t="s">
        <v>148</v>
      </c>
      <c r="D41" s="64" t="s">
        <v>127</v>
      </c>
      <c r="E41" s="64" t="s">
        <v>184</v>
      </c>
      <c r="F41" s="64" t="s">
        <v>10</v>
      </c>
      <c r="G41" s="67" t="s">
        <v>185</v>
      </c>
      <c r="H41" s="68">
        <v>12564.1</v>
      </c>
      <c r="I41" s="68">
        <v>13918.21</v>
      </c>
      <c r="J41" s="68">
        <v>5135.9799999999996</v>
      </c>
      <c r="K41" s="69">
        <f t="shared" si="1"/>
        <v>8782.23</v>
      </c>
      <c r="L41" s="70" t="s">
        <v>239</v>
      </c>
    </row>
    <row r="42" spans="1:12" s="71" customFormat="1" x14ac:dyDescent="0.25">
      <c r="A42" s="76" t="s">
        <v>235</v>
      </c>
      <c r="B42" s="77">
        <v>1035</v>
      </c>
      <c r="C42" s="78"/>
      <c r="D42" s="76" t="s">
        <v>194</v>
      </c>
      <c r="E42" s="76" t="s">
        <v>191</v>
      </c>
      <c r="F42" s="76" t="s">
        <v>30</v>
      </c>
      <c r="G42" s="79" t="s">
        <v>117</v>
      </c>
      <c r="H42" s="80">
        <v>1200</v>
      </c>
      <c r="I42" s="80">
        <v>1440</v>
      </c>
      <c r="J42" s="80">
        <v>0</v>
      </c>
      <c r="K42" s="69">
        <f t="shared" si="1"/>
        <v>1440</v>
      </c>
      <c r="L42" s="82" t="s">
        <v>192</v>
      </c>
    </row>
    <row r="43" spans="1:12" s="71" customFormat="1" x14ac:dyDescent="0.25">
      <c r="A43" s="76" t="s">
        <v>240</v>
      </c>
      <c r="B43" s="77">
        <v>1036</v>
      </c>
      <c r="C43" s="78"/>
      <c r="D43" s="76" t="s">
        <v>194</v>
      </c>
      <c r="E43" s="76" t="s">
        <v>191</v>
      </c>
      <c r="F43" s="76" t="s">
        <v>10</v>
      </c>
      <c r="G43" s="79" t="s">
        <v>117</v>
      </c>
      <c r="H43" s="80">
        <v>1200</v>
      </c>
      <c r="I43" s="80">
        <v>1040</v>
      </c>
      <c r="J43" s="80">
        <v>0</v>
      </c>
      <c r="K43" s="81">
        <f t="shared" si="1"/>
        <v>1040</v>
      </c>
      <c r="L43" s="82" t="s">
        <v>192</v>
      </c>
    </row>
    <row r="44" spans="1:12" s="83" customFormat="1" x14ac:dyDescent="0.25">
      <c r="A44" s="76" t="s">
        <v>189</v>
      </c>
      <c r="B44" s="77">
        <v>1125</v>
      </c>
      <c r="C44" s="78"/>
      <c r="D44" s="76" t="s">
        <v>190</v>
      </c>
      <c r="E44" s="76" t="s">
        <v>191</v>
      </c>
      <c r="F44" s="76" t="s">
        <v>40</v>
      </c>
      <c r="G44" s="79" t="s">
        <v>117</v>
      </c>
      <c r="H44" s="80">
        <v>1200</v>
      </c>
      <c r="I44" s="80">
        <v>1160</v>
      </c>
      <c r="J44" s="80">
        <v>345</v>
      </c>
      <c r="K44" s="81">
        <f t="shared" si="1"/>
        <v>815</v>
      </c>
      <c r="L44" s="82" t="s">
        <v>255</v>
      </c>
    </row>
    <row r="45" spans="1:12" s="83" customFormat="1" x14ac:dyDescent="0.25">
      <c r="A45" s="76" t="s">
        <v>193</v>
      </c>
      <c r="B45" s="77">
        <v>1025</v>
      </c>
      <c r="C45" s="78"/>
      <c r="D45" s="76" t="s">
        <v>194</v>
      </c>
      <c r="E45" s="76" t="s">
        <v>191</v>
      </c>
      <c r="F45" s="76" t="s">
        <v>38</v>
      </c>
      <c r="G45" s="79" t="s">
        <v>117</v>
      </c>
      <c r="H45" s="84">
        <v>1200</v>
      </c>
      <c r="I45" s="80">
        <v>1260</v>
      </c>
      <c r="J45" s="81">
        <v>0</v>
      </c>
      <c r="K45" s="81">
        <f t="shared" si="1"/>
        <v>1260</v>
      </c>
      <c r="L45" s="82" t="s">
        <v>192</v>
      </c>
    </row>
    <row r="46" spans="1:12" s="83" customFormat="1" x14ac:dyDescent="0.25">
      <c r="A46" s="76" t="s">
        <v>252</v>
      </c>
      <c r="B46" s="77">
        <v>1038</v>
      </c>
      <c r="C46" s="78"/>
      <c r="D46" s="76" t="s">
        <v>194</v>
      </c>
      <c r="E46" s="76" t="s">
        <v>191</v>
      </c>
      <c r="F46" s="76" t="s">
        <v>38</v>
      </c>
      <c r="G46" s="79" t="s">
        <v>117</v>
      </c>
      <c r="H46" s="84">
        <v>1200</v>
      </c>
      <c r="I46" s="80">
        <v>1668</v>
      </c>
      <c r="J46" s="81">
        <v>228</v>
      </c>
      <c r="K46" s="81">
        <f t="shared" si="1"/>
        <v>1440</v>
      </c>
      <c r="L46" s="82" t="s">
        <v>254</v>
      </c>
    </row>
    <row r="47" spans="1:12" s="83" customFormat="1" x14ac:dyDescent="0.25">
      <c r="A47" s="76" t="s">
        <v>253</v>
      </c>
      <c r="B47" s="77">
        <v>1039</v>
      </c>
      <c r="C47" s="78"/>
      <c r="D47" s="76" t="s">
        <v>190</v>
      </c>
      <c r="E47" s="76" t="s">
        <v>191</v>
      </c>
      <c r="F47" s="76" t="s">
        <v>40</v>
      </c>
      <c r="G47" s="79" t="s">
        <v>117</v>
      </c>
      <c r="H47" s="84">
        <v>1200</v>
      </c>
      <c r="I47" s="80">
        <v>1040</v>
      </c>
      <c r="J47" s="81">
        <v>120</v>
      </c>
      <c r="K47" s="81">
        <f t="shared" si="1"/>
        <v>920</v>
      </c>
      <c r="L47" s="82" t="s">
        <v>254</v>
      </c>
    </row>
    <row r="48" spans="1:12" s="83" customFormat="1" x14ac:dyDescent="0.25">
      <c r="A48" s="76" t="s">
        <v>241</v>
      </c>
      <c r="B48" s="77">
        <v>1037</v>
      </c>
      <c r="C48" s="78"/>
      <c r="D48" s="76" t="s">
        <v>190</v>
      </c>
      <c r="E48" s="76" t="s">
        <v>191</v>
      </c>
      <c r="F48" s="76" t="s">
        <v>10</v>
      </c>
      <c r="G48" s="79" t="s">
        <v>117</v>
      </c>
      <c r="H48" s="80">
        <v>1200</v>
      </c>
      <c r="I48" s="80">
        <v>1440</v>
      </c>
      <c r="J48" s="81">
        <v>0</v>
      </c>
      <c r="K48" s="81">
        <f t="shared" si="1"/>
        <v>1440</v>
      </c>
      <c r="L48" s="82" t="s">
        <v>192</v>
      </c>
    </row>
    <row r="49" spans="1:12" s="83" customFormat="1" x14ac:dyDescent="0.25">
      <c r="A49" s="76" t="s">
        <v>195</v>
      </c>
      <c r="B49" s="77">
        <v>1032</v>
      </c>
      <c r="C49" s="78"/>
      <c r="D49" s="76" t="s">
        <v>194</v>
      </c>
      <c r="E49" s="76" t="s">
        <v>191</v>
      </c>
      <c r="F49" s="76" t="s">
        <v>30</v>
      </c>
      <c r="G49" s="79" t="s">
        <v>117</v>
      </c>
      <c r="H49" s="84">
        <v>1200</v>
      </c>
      <c r="I49" s="80">
        <v>1440</v>
      </c>
      <c r="J49" s="81">
        <v>0</v>
      </c>
      <c r="K49" s="81">
        <f t="shared" si="1"/>
        <v>1440</v>
      </c>
      <c r="L49" s="82" t="s">
        <v>192</v>
      </c>
    </row>
    <row r="50" spans="1:12" s="83" customFormat="1" x14ac:dyDescent="0.25">
      <c r="A50" s="76" t="s">
        <v>236</v>
      </c>
      <c r="B50" s="77">
        <v>1034</v>
      </c>
      <c r="C50" s="78"/>
      <c r="D50" s="76" t="s">
        <v>194</v>
      </c>
      <c r="E50" s="76" t="s">
        <v>191</v>
      </c>
      <c r="F50" s="76" t="s">
        <v>30</v>
      </c>
      <c r="G50" s="79" t="s">
        <v>117</v>
      </c>
      <c r="H50" s="84">
        <v>1200</v>
      </c>
      <c r="I50" s="80">
        <v>1440</v>
      </c>
      <c r="J50" s="81">
        <v>0</v>
      </c>
      <c r="K50" s="81">
        <f t="shared" si="1"/>
        <v>1440</v>
      </c>
      <c r="L50" s="82" t="s">
        <v>192</v>
      </c>
    </row>
    <row r="51" spans="1:12" s="83" customFormat="1" x14ac:dyDescent="0.25">
      <c r="A51" s="76" t="s">
        <v>196</v>
      </c>
      <c r="B51" s="77">
        <v>1033</v>
      </c>
      <c r="C51" s="78"/>
      <c r="D51" s="76" t="s">
        <v>194</v>
      </c>
      <c r="E51" s="76" t="s">
        <v>191</v>
      </c>
      <c r="F51" s="76" t="s">
        <v>42</v>
      </c>
      <c r="G51" s="79" t="s">
        <v>117</v>
      </c>
      <c r="H51" s="84">
        <v>1200</v>
      </c>
      <c r="I51" s="80">
        <v>1440</v>
      </c>
      <c r="J51" s="81">
        <v>0</v>
      </c>
      <c r="K51" s="81">
        <f t="shared" si="1"/>
        <v>1440</v>
      </c>
      <c r="L51" s="82" t="s">
        <v>192</v>
      </c>
    </row>
    <row r="52" spans="1:12" s="83" customFormat="1" x14ac:dyDescent="0.25">
      <c r="A52" s="76" t="s">
        <v>197</v>
      </c>
      <c r="B52" s="77">
        <v>1024</v>
      </c>
      <c r="C52" s="78"/>
      <c r="D52" s="76" t="s">
        <v>194</v>
      </c>
      <c r="E52" s="76" t="s">
        <v>191</v>
      </c>
      <c r="F52" s="76" t="s">
        <v>44</v>
      </c>
      <c r="G52" s="79" t="s">
        <v>117</v>
      </c>
      <c r="H52" s="84">
        <v>1200</v>
      </c>
      <c r="I52" s="80">
        <v>1440</v>
      </c>
      <c r="J52" s="81">
        <v>0</v>
      </c>
      <c r="K52" s="81">
        <f t="shared" si="1"/>
        <v>1440</v>
      </c>
      <c r="L52" s="82" t="s">
        <v>192</v>
      </c>
    </row>
    <row r="53" spans="1:12" s="83" customFormat="1" x14ac:dyDescent="0.25">
      <c r="A53" s="76" t="s">
        <v>198</v>
      </c>
      <c r="B53" s="77">
        <v>1023</v>
      </c>
      <c r="C53" s="78"/>
      <c r="D53" s="76" t="s">
        <v>190</v>
      </c>
      <c r="E53" s="76" t="s">
        <v>191</v>
      </c>
      <c r="F53" s="76" t="s">
        <v>40</v>
      </c>
      <c r="G53" s="79" t="s">
        <v>117</v>
      </c>
      <c r="H53" s="85">
        <v>1200</v>
      </c>
      <c r="I53" s="80">
        <v>1440</v>
      </c>
      <c r="J53" s="81">
        <v>0</v>
      </c>
      <c r="K53" s="81">
        <f t="shared" si="1"/>
        <v>1440</v>
      </c>
      <c r="L53" s="82" t="s">
        <v>192</v>
      </c>
    </row>
    <row r="54" spans="1:12" s="83" customFormat="1" x14ac:dyDescent="0.25">
      <c r="A54" s="76" t="s">
        <v>201</v>
      </c>
      <c r="B54" s="77">
        <v>1022</v>
      </c>
      <c r="C54" s="78"/>
      <c r="D54" s="76" t="s">
        <v>194</v>
      </c>
      <c r="E54" s="76" t="s">
        <v>191</v>
      </c>
      <c r="F54" s="76" t="s">
        <v>14</v>
      </c>
      <c r="G54" s="79" t="s">
        <v>117</v>
      </c>
      <c r="H54" s="85">
        <v>1200</v>
      </c>
      <c r="I54" s="80">
        <v>1440</v>
      </c>
      <c r="J54" s="81">
        <v>0</v>
      </c>
      <c r="K54" s="81">
        <f t="shared" si="1"/>
        <v>1440</v>
      </c>
      <c r="L54" s="82" t="s">
        <v>192</v>
      </c>
    </row>
    <row r="55" spans="1:12" s="83" customFormat="1" x14ac:dyDescent="0.25">
      <c r="A55" s="76" t="s">
        <v>203</v>
      </c>
      <c r="B55" s="77">
        <v>1027</v>
      </c>
      <c r="C55" s="78"/>
      <c r="D55" s="76" t="s">
        <v>194</v>
      </c>
      <c r="E55" s="76" t="s">
        <v>191</v>
      </c>
      <c r="F55" s="76" t="s">
        <v>14</v>
      </c>
      <c r="G55" s="79" t="s">
        <v>117</v>
      </c>
      <c r="H55" s="84">
        <v>1200</v>
      </c>
      <c r="I55" s="84">
        <v>1212</v>
      </c>
      <c r="J55" s="81">
        <v>0</v>
      </c>
      <c r="K55" s="81">
        <f t="shared" si="1"/>
        <v>1212</v>
      </c>
      <c r="L55" s="82" t="s">
        <v>192</v>
      </c>
    </row>
    <row r="56" spans="1:12" s="83" customFormat="1" x14ac:dyDescent="0.25">
      <c r="A56" s="76" t="s">
        <v>204</v>
      </c>
      <c r="B56" s="77">
        <v>1028</v>
      </c>
      <c r="C56" s="78"/>
      <c r="D56" s="76" t="s">
        <v>194</v>
      </c>
      <c r="E56" s="76" t="s">
        <v>191</v>
      </c>
      <c r="F56" s="76" t="s">
        <v>42</v>
      </c>
      <c r="G56" s="79" t="s">
        <v>117</v>
      </c>
      <c r="H56" s="84">
        <v>1200</v>
      </c>
      <c r="I56" s="84">
        <v>1440</v>
      </c>
      <c r="J56" s="81">
        <v>0</v>
      </c>
      <c r="K56" s="81">
        <f t="shared" si="1"/>
        <v>1440</v>
      </c>
      <c r="L56" s="82" t="s">
        <v>192</v>
      </c>
    </row>
    <row r="57" spans="1:12" s="83" customFormat="1" x14ac:dyDescent="0.25">
      <c r="A57" s="86" t="s">
        <v>205</v>
      </c>
      <c r="B57" s="87">
        <v>2106</v>
      </c>
      <c r="C57" s="88"/>
      <c r="D57" s="86" t="s">
        <v>206</v>
      </c>
      <c r="E57" s="86" t="s">
        <v>206</v>
      </c>
      <c r="F57" s="86" t="s">
        <v>207</v>
      </c>
      <c r="G57" s="89" t="s">
        <v>112</v>
      </c>
      <c r="H57" s="90">
        <v>3666.67</v>
      </c>
      <c r="I57" s="90">
        <v>3666.67</v>
      </c>
      <c r="J57" s="91">
        <v>0</v>
      </c>
      <c r="K57" s="91">
        <f t="shared" si="1"/>
        <v>3666.67</v>
      </c>
      <c r="L57" s="111" t="s">
        <v>208</v>
      </c>
    </row>
    <row r="58" spans="1:12" s="83" customFormat="1" x14ac:dyDescent="0.25">
      <c r="A58" s="86" t="s">
        <v>209</v>
      </c>
      <c r="B58" s="87">
        <v>2107</v>
      </c>
      <c r="C58" s="88"/>
      <c r="D58" s="86" t="s">
        <v>206</v>
      </c>
      <c r="E58" s="86" t="s">
        <v>206</v>
      </c>
      <c r="F58" s="86" t="s">
        <v>207</v>
      </c>
      <c r="G58" s="89" t="s">
        <v>112</v>
      </c>
      <c r="H58" s="90">
        <v>2625</v>
      </c>
      <c r="I58" s="90">
        <f>2625</f>
        <v>2625</v>
      </c>
      <c r="J58" s="91">
        <v>0</v>
      </c>
      <c r="K58" s="91">
        <f t="shared" si="1"/>
        <v>2625</v>
      </c>
      <c r="L58" s="92" t="s">
        <v>208</v>
      </c>
    </row>
    <row r="59" spans="1:12" s="83" customFormat="1" x14ac:dyDescent="0.25">
      <c r="A59" s="86" t="s">
        <v>210</v>
      </c>
      <c r="B59" s="87">
        <v>2108</v>
      </c>
      <c r="C59" s="88"/>
      <c r="D59" s="86" t="s">
        <v>206</v>
      </c>
      <c r="E59" s="86" t="s">
        <v>206</v>
      </c>
      <c r="F59" s="86" t="s">
        <v>207</v>
      </c>
      <c r="G59" s="89" t="s">
        <v>112</v>
      </c>
      <c r="H59" s="90">
        <v>2625</v>
      </c>
      <c r="I59" s="90">
        <v>2625</v>
      </c>
      <c r="J59" s="91">
        <v>0</v>
      </c>
      <c r="K59" s="91">
        <f t="shared" si="1"/>
        <v>2625</v>
      </c>
      <c r="L59" s="92" t="s">
        <v>208</v>
      </c>
    </row>
    <row r="60" spans="1:12" s="93" customFormat="1" x14ac:dyDescent="0.25">
      <c r="A60" s="86" t="s">
        <v>211</v>
      </c>
      <c r="B60" s="87">
        <v>2091</v>
      </c>
      <c r="C60" s="88"/>
      <c r="D60" s="86" t="s">
        <v>206</v>
      </c>
      <c r="E60" s="86" t="s">
        <v>206</v>
      </c>
      <c r="F60" s="86" t="s">
        <v>212</v>
      </c>
      <c r="G60" s="89" t="s">
        <v>112</v>
      </c>
      <c r="H60" s="91">
        <v>5500</v>
      </c>
      <c r="I60" s="91">
        <v>5500</v>
      </c>
      <c r="J60" s="91">
        <v>0</v>
      </c>
      <c r="K60" s="91">
        <f t="shared" si="1"/>
        <v>5500</v>
      </c>
      <c r="L60" s="94" t="s">
        <v>213</v>
      </c>
    </row>
    <row r="61" spans="1:12" s="93" customFormat="1" x14ac:dyDescent="0.25">
      <c r="A61" s="86" t="s">
        <v>214</v>
      </c>
      <c r="B61" s="87">
        <v>2104</v>
      </c>
      <c r="C61" s="88"/>
      <c r="D61" s="86" t="s">
        <v>206</v>
      </c>
      <c r="E61" s="86" t="s">
        <v>206</v>
      </c>
      <c r="F61" s="86" t="s">
        <v>207</v>
      </c>
      <c r="G61" s="89" t="s">
        <v>112</v>
      </c>
      <c r="H61" s="90">
        <v>12500</v>
      </c>
      <c r="I61" s="90">
        <v>12500</v>
      </c>
      <c r="J61" s="91">
        <v>0</v>
      </c>
      <c r="K61" s="91">
        <f t="shared" si="1"/>
        <v>12500</v>
      </c>
      <c r="L61" s="92" t="s">
        <v>208</v>
      </c>
    </row>
    <row r="62" spans="1:12" s="93" customFormat="1" x14ac:dyDescent="0.25">
      <c r="A62" s="86" t="s">
        <v>216</v>
      </c>
      <c r="B62" s="87">
        <v>2109</v>
      </c>
      <c r="C62" s="88"/>
      <c r="D62" s="86" t="s">
        <v>206</v>
      </c>
      <c r="E62" s="86" t="s">
        <v>206</v>
      </c>
      <c r="F62" s="86" t="s">
        <v>207</v>
      </c>
      <c r="G62" s="89" t="s">
        <v>112</v>
      </c>
      <c r="H62" s="90">
        <v>2625</v>
      </c>
      <c r="I62" s="90">
        <v>2625</v>
      </c>
      <c r="J62" s="91">
        <v>0</v>
      </c>
      <c r="K62" s="91">
        <f t="shared" si="1"/>
        <v>2625</v>
      </c>
      <c r="L62" s="92" t="s">
        <v>208</v>
      </c>
    </row>
    <row r="63" spans="1:12" s="93" customFormat="1" x14ac:dyDescent="0.25">
      <c r="A63" s="86" t="s">
        <v>218</v>
      </c>
      <c r="B63" s="87">
        <v>2110</v>
      </c>
      <c r="C63" s="88"/>
      <c r="D63" s="86" t="s">
        <v>206</v>
      </c>
      <c r="E63" s="86" t="s">
        <v>206</v>
      </c>
      <c r="F63" s="86" t="s">
        <v>207</v>
      </c>
      <c r="G63" s="89" t="s">
        <v>112</v>
      </c>
      <c r="H63" s="90">
        <v>5500</v>
      </c>
      <c r="I63" s="90">
        <v>5500</v>
      </c>
      <c r="J63" s="91">
        <v>0</v>
      </c>
      <c r="K63" s="91">
        <f t="shared" si="1"/>
        <v>5500</v>
      </c>
      <c r="L63" s="92" t="s">
        <v>208</v>
      </c>
    </row>
    <row r="64" spans="1:12" s="100" customFormat="1" x14ac:dyDescent="0.25">
      <c r="A64" s="95"/>
      <c r="B64" s="96"/>
      <c r="C64" s="96" t="s">
        <v>219</v>
      </c>
      <c r="D64" s="95"/>
      <c r="E64" s="95"/>
      <c r="F64" s="95"/>
      <c r="G64" s="97"/>
      <c r="H64" s="98">
        <f>SUM(H2:H63)</f>
        <v>511624.75000000006</v>
      </c>
      <c r="I64" s="98">
        <f>SUM(I2:I63)</f>
        <v>627718.37</v>
      </c>
      <c r="J64" s="98">
        <f>SUM(J2:J63)</f>
        <v>162414.66999999998</v>
      </c>
      <c r="K64" s="115">
        <f>SUM(K2:K63)</f>
        <v>465303.69999999995</v>
      </c>
      <c r="L64" s="99"/>
    </row>
    <row r="65" spans="1:12" x14ac:dyDescent="0.25">
      <c r="I65" s="105"/>
      <c r="J65" s="106"/>
      <c r="K65" s="116"/>
    </row>
    <row r="66" spans="1:12" x14ac:dyDescent="0.25">
      <c r="I66" s="105"/>
    </row>
    <row r="67" spans="1:12" s="104" customFormat="1" x14ac:dyDescent="0.25">
      <c r="A67" s="101"/>
      <c r="B67" s="102"/>
      <c r="C67" s="102"/>
      <c r="D67" s="101"/>
      <c r="E67" s="101"/>
      <c r="F67" s="101"/>
      <c r="G67" s="103"/>
      <c r="I67" s="105"/>
      <c r="K67" s="117"/>
      <c r="L67" s="107"/>
    </row>
    <row r="68" spans="1:12" x14ac:dyDescent="0.25">
      <c r="I68" s="105"/>
    </row>
  </sheetData>
  <autoFilter ref="A1:O68" xr:uid="{F4064140-040D-4F65-887A-D65371FCFCDC}"/>
  <pageMargins left="0.511811024" right="0.511811024" top="0.78740157499999996" bottom="0.78740157499999996" header="0.31496062000000002" footer="0.31496062000000002"/>
  <pageSetup paperSize="9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0C5336-9022-404E-8DCA-447DD510CFA3}">
  <dimension ref="A1:O68"/>
  <sheetViews>
    <sheetView tabSelected="1" zoomScaleNormal="100" workbookViewId="0">
      <pane xSplit="1" topLeftCell="H1" activePane="topRight" state="frozen"/>
      <selection pane="topRight" activeCell="H41" sqref="H13:H41"/>
    </sheetView>
  </sheetViews>
  <sheetFormatPr defaultColWidth="8.7109375" defaultRowHeight="15.75" x14ac:dyDescent="0.25"/>
  <cols>
    <col min="1" max="1" width="33.42578125" style="101" customWidth="1"/>
    <col min="2" max="2" width="6.5703125" style="102" customWidth="1"/>
    <col min="3" max="3" width="7.85546875" style="102" customWidth="1"/>
    <col min="4" max="4" width="40.5703125" style="101" bestFit="1" customWidth="1"/>
    <col min="5" max="5" width="14.7109375" style="101" bestFit="1" customWidth="1"/>
    <col min="6" max="6" width="7.28515625" style="101" customWidth="1"/>
    <col min="7" max="7" width="11.28515625" style="103" customWidth="1"/>
    <col min="8" max="10" width="16.7109375" style="104" customWidth="1"/>
    <col min="11" max="11" width="16.7109375" style="117" customWidth="1"/>
    <col min="12" max="12" width="76.42578125" style="107" customWidth="1"/>
    <col min="13" max="14" width="8.7109375" style="108"/>
    <col min="15" max="15" width="11.5703125" style="108" bestFit="1" customWidth="1"/>
    <col min="16" max="16384" width="8.7109375" style="108"/>
  </cols>
  <sheetData>
    <row r="1" spans="1:12" s="38" customFormat="1" ht="25.5" customHeight="1" x14ac:dyDescent="0.25">
      <c r="A1" s="32" t="s">
        <v>77</v>
      </c>
      <c r="B1" s="33" t="s">
        <v>78</v>
      </c>
      <c r="C1" s="32" t="s">
        <v>79</v>
      </c>
      <c r="D1" s="34" t="s">
        <v>80</v>
      </c>
      <c r="E1" s="34" t="s">
        <v>81</v>
      </c>
      <c r="F1" s="34" t="s">
        <v>82</v>
      </c>
      <c r="G1" s="35" t="s">
        <v>83</v>
      </c>
      <c r="H1" s="36" t="s">
        <v>84</v>
      </c>
      <c r="I1" s="36" t="s">
        <v>85</v>
      </c>
      <c r="J1" s="36" t="s">
        <v>86</v>
      </c>
      <c r="K1" s="114" t="s">
        <v>87</v>
      </c>
      <c r="L1" s="37" t="s">
        <v>88</v>
      </c>
    </row>
    <row r="2" spans="1:12" s="45" customFormat="1" x14ac:dyDescent="0.25">
      <c r="A2" s="39" t="s">
        <v>89</v>
      </c>
      <c r="B2" s="40" t="s">
        <v>90</v>
      </c>
      <c r="C2" s="41" t="s">
        <v>91</v>
      </c>
      <c r="D2" s="39" t="s">
        <v>93</v>
      </c>
      <c r="E2" s="39" t="s">
        <v>93</v>
      </c>
      <c r="F2" s="39" t="s">
        <v>94</v>
      </c>
      <c r="G2" s="42"/>
      <c r="H2" s="43">
        <v>34993.339999999997</v>
      </c>
      <c r="I2" s="43">
        <f>38167.32+30123.26</f>
        <v>68290.58</v>
      </c>
      <c r="J2" s="43">
        <v>9375.61</v>
      </c>
      <c r="K2" s="43">
        <f>SUM(I2-J2)</f>
        <v>58914.97</v>
      </c>
      <c r="L2" s="44" t="s">
        <v>95</v>
      </c>
    </row>
    <row r="3" spans="1:12" s="45" customFormat="1" x14ac:dyDescent="0.25">
      <c r="A3" s="39" t="s">
        <v>96</v>
      </c>
      <c r="B3" s="40" t="s">
        <v>97</v>
      </c>
      <c r="C3" s="41" t="s">
        <v>98</v>
      </c>
      <c r="D3" s="39" t="s">
        <v>99</v>
      </c>
      <c r="E3" s="39" t="s">
        <v>99</v>
      </c>
      <c r="F3" s="39" t="s">
        <v>22</v>
      </c>
      <c r="G3" s="42"/>
      <c r="H3" s="43">
        <v>32908.57</v>
      </c>
      <c r="I3" s="43">
        <v>35504.81</v>
      </c>
      <c r="J3" s="43">
        <v>8739.5400000000009</v>
      </c>
      <c r="K3" s="43">
        <f t="shared" ref="K3:K63" si="0">I3-J3</f>
        <v>26765.269999999997</v>
      </c>
      <c r="L3" s="44" t="s">
        <v>220</v>
      </c>
    </row>
    <row r="4" spans="1:12" s="45" customFormat="1" x14ac:dyDescent="0.25">
      <c r="A4" s="39" t="s">
        <v>101</v>
      </c>
      <c r="B4" s="40" t="s">
        <v>102</v>
      </c>
      <c r="C4" s="41" t="s">
        <v>98</v>
      </c>
      <c r="D4" s="39" t="s">
        <v>257</v>
      </c>
      <c r="E4" s="39" t="s">
        <v>99</v>
      </c>
      <c r="F4" s="39" t="s">
        <v>24</v>
      </c>
      <c r="G4" s="42"/>
      <c r="H4" s="43">
        <v>32908.57</v>
      </c>
      <c r="I4" s="110">
        <f>32908.57+2672.64</f>
        <v>35581.21</v>
      </c>
      <c r="J4" s="43">
        <v>9001.7800000000007</v>
      </c>
      <c r="K4" s="43">
        <f t="shared" si="0"/>
        <v>26579.43</v>
      </c>
      <c r="L4" s="44" t="s">
        <v>103</v>
      </c>
    </row>
    <row r="5" spans="1:12" s="53" customFormat="1" x14ac:dyDescent="0.25">
      <c r="A5" s="46" t="s">
        <v>104</v>
      </c>
      <c r="B5" s="47">
        <v>95</v>
      </c>
      <c r="C5" s="48" t="s">
        <v>105</v>
      </c>
      <c r="D5" s="46" t="s">
        <v>256</v>
      </c>
      <c r="E5" s="46" t="s">
        <v>256</v>
      </c>
      <c r="F5" s="46" t="s">
        <v>28</v>
      </c>
      <c r="G5" s="49"/>
      <c r="H5" s="50">
        <v>8673.17</v>
      </c>
      <c r="I5" s="112">
        <v>8673.17</v>
      </c>
      <c r="J5" s="112">
        <v>1309.4100000000001</v>
      </c>
      <c r="K5" s="43">
        <f t="shared" si="0"/>
        <v>7363.76</v>
      </c>
      <c r="L5" s="52" t="s">
        <v>222</v>
      </c>
    </row>
    <row r="6" spans="1:12" s="53" customFormat="1" x14ac:dyDescent="0.25">
      <c r="A6" s="46" t="s">
        <v>108</v>
      </c>
      <c r="B6" s="47" t="s">
        <v>109</v>
      </c>
      <c r="C6" s="48" t="s">
        <v>105</v>
      </c>
      <c r="D6" s="46" t="s">
        <v>256</v>
      </c>
      <c r="E6" s="54" t="s">
        <v>106</v>
      </c>
      <c r="F6" s="46" t="s">
        <v>26</v>
      </c>
      <c r="G6" s="49"/>
      <c r="H6" s="50">
        <v>5208.1400000000003</v>
      </c>
      <c r="I6" s="112">
        <f>5208.14+1204.5</f>
        <v>6412.64</v>
      </c>
      <c r="J6" s="112">
        <v>380.34</v>
      </c>
      <c r="K6" s="43">
        <f t="shared" si="0"/>
        <v>6032.3</v>
      </c>
      <c r="L6" s="52" t="s">
        <v>246</v>
      </c>
    </row>
    <row r="7" spans="1:12" s="63" customFormat="1" x14ac:dyDescent="0.25">
      <c r="A7" s="55" t="s">
        <v>110</v>
      </c>
      <c r="B7" s="56">
        <v>92</v>
      </c>
      <c r="C7" s="57"/>
      <c r="D7" s="55"/>
      <c r="E7" s="58" t="s">
        <v>111</v>
      </c>
      <c r="F7" s="58" t="s">
        <v>20</v>
      </c>
      <c r="G7" s="59" t="s">
        <v>112</v>
      </c>
      <c r="H7" s="60">
        <v>0</v>
      </c>
      <c r="I7" s="113">
        <v>1314</v>
      </c>
      <c r="J7" s="113">
        <v>0</v>
      </c>
      <c r="K7" s="60">
        <f t="shared" si="0"/>
        <v>1314</v>
      </c>
      <c r="L7" s="62" t="s">
        <v>115</v>
      </c>
    </row>
    <row r="8" spans="1:12" s="63" customFormat="1" x14ac:dyDescent="0.25">
      <c r="A8" s="55" t="s">
        <v>113</v>
      </c>
      <c r="B8" s="56">
        <v>93</v>
      </c>
      <c r="C8" s="57"/>
      <c r="D8" s="55"/>
      <c r="E8" s="58" t="s">
        <v>111</v>
      </c>
      <c r="F8" s="58" t="s">
        <v>245</v>
      </c>
      <c r="G8" s="59"/>
      <c r="H8" s="60">
        <v>0</v>
      </c>
      <c r="I8" s="60">
        <v>0</v>
      </c>
      <c r="J8" s="113">
        <v>0</v>
      </c>
      <c r="K8" s="60">
        <f t="shared" si="0"/>
        <v>0</v>
      </c>
      <c r="L8" s="62"/>
    </row>
    <row r="9" spans="1:12" s="63" customFormat="1" x14ac:dyDescent="0.25">
      <c r="A9" s="55" t="s">
        <v>114</v>
      </c>
      <c r="B9" s="56">
        <v>90</v>
      </c>
      <c r="C9" s="57"/>
      <c r="D9" s="55"/>
      <c r="E9" s="58" t="s">
        <v>111</v>
      </c>
      <c r="F9" s="58" t="s">
        <v>14</v>
      </c>
      <c r="G9" s="59" t="s">
        <v>112</v>
      </c>
      <c r="H9" s="60">
        <v>0</v>
      </c>
      <c r="I9" s="113">
        <v>14824.8</v>
      </c>
      <c r="J9" s="113">
        <v>0</v>
      </c>
      <c r="K9" s="60">
        <f t="shared" si="0"/>
        <v>14824.8</v>
      </c>
      <c r="L9" s="62" t="s">
        <v>115</v>
      </c>
    </row>
    <row r="10" spans="1:12" s="63" customFormat="1" x14ac:dyDescent="0.25">
      <c r="A10" s="55" t="s">
        <v>243</v>
      </c>
      <c r="B10" s="56">
        <v>98</v>
      </c>
      <c r="C10" s="57"/>
      <c r="D10" s="55"/>
      <c r="E10" s="58" t="s">
        <v>244</v>
      </c>
      <c r="F10" s="58" t="s">
        <v>245</v>
      </c>
      <c r="G10" s="59"/>
      <c r="H10" s="60">
        <v>0</v>
      </c>
      <c r="I10" s="113">
        <f>3285</f>
        <v>3285</v>
      </c>
      <c r="J10" s="113">
        <v>0</v>
      </c>
      <c r="K10" s="60">
        <f t="shared" si="0"/>
        <v>3285</v>
      </c>
      <c r="L10" s="62" t="s">
        <v>115</v>
      </c>
    </row>
    <row r="11" spans="1:12" s="63" customFormat="1" x14ac:dyDescent="0.25">
      <c r="A11" s="55" t="s">
        <v>116</v>
      </c>
      <c r="B11" s="56">
        <v>91</v>
      </c>
      <c r="C11" s="57"/>
      <c r="D11" s="55"/>
      <c r="E11" s="58" t="s">
        <v>111</v>
      </c>
      <c r="F11" s="58" t="s">
        <v>18</v>
      </c>
      <c r="G11" s="59" t="s">
        <v>117</v>
      </c>
      <c r="H11" s="60">
        <v>0</v>
      </c>
      <c r="I11" s="60">
        <v>0</v>
      </c>
      <c r="J11" s="60">
        <v>0</v>
      </c>
      <c r="K11" s="60">
        <f t="shared" si="0"/>
        <v>0</v>
      </c>
      <c r="L11" s="62"/>
    </row>
    <row r="12" spans="1:12" s="63" customFormat="1" x14ac:dyDescent="0.25">
      <c r="A12" s="55" t="s">
        <v>118</v>
      </c>
      <c r="B12" s="56">
        <v>94</v>
      </c>
      <c r="C12" s="57"/>
      <c r="D12" s="55"/>
      <c r="E12" s="58" t="s">
        <v>111</v>
      </c>
      <c r="F12" s="58" t="s">
        <v>16</v>
      </c>
      <c r="G12" s="59"/>
      <c r="H12" s="60">
        <v>0</v>
      </c>
      <c r="I12" s="60">
        <v>0</v>
      </c>
      <c r="J12" s="60">
        <v>0</v>
      </c>
      <c r="K12" s="60">
        <f t="shared" si="0"/>
        <v>0</v>
      </c>
      <c r="L12" s="62"/>
    </row>
    <row r="13" spans="1:12" s="71" customFormat="1" x14ac:dyDescent="0.25">
      <c r="A13" s="64" t="s">
        <v>119</v>
      </c>
      <c r="B13" s="65">
        <v>88</v>
      </c>
      <c r="C13" s="66" t="s">
        <v>279</v>
      </c>
      <c r="D13" s="64" t="s">
        <v>258</v>
      </c>
      <c r="E13" s="64" t="s">
        <v>122</v>
      </c>
      <c r="F13" s="64" t="s">
        <v>42</v>
      </c>
      <c r="G13" s="118" t="s">
        <v>112</v>
      </c>
      <c r="H13" s="119">
        <v>9566.85</v>
      </c>
      <c r="I13" s="68">
        <v>9566.85</v>
      </c>
      <c r="J13" s="68">
        <v>2769.67</v>
      </c>
      <c r="K13" s="69">
        <f t="shared" si="0"/>
        <v>6797.18</v>
      </c>
      <c r="L13" s="70" t="s">
        <v>223</v>
      </c>
    </row>
    <row r="14" spans="1:12" s="71" customFormat="1" x14ac:dyDescent="0.25">
      <c r="A14" s="64" t="s">
        <v>124</v>
      </c>
      <c r="B14" s="65">
        <v>84</v>
      </c>
      <c r="C14" s="66" t="s">
        <v>279</v>
      </c>
      <c r="D14" s="64" t="s">
        <v>258</v>
      </c>
      <c r="E14" s="64" t="s">
        <v>122</v>
      </c>
      <c r="F14" s="64" t="s">
        <v>42</v>
      </c>
      <c r="G14" s="118" t="s">
        <v>112</v>
      </c>
      <c r="H14" s="119">
        <v>9566.85</v>
      </c>
      <c r="I14" s="68">
        <v>14350.44</v>
      </c>
      <c r="J14" s="68">
        <v>8185.62</v>
      </c>
      <c r="K14" s="69">
        <f t="shared" si="0"/>
        <v>6164.8200000000006</v>
      </c>
      <c r="L14" s="70" t="s">
        <v>282</v>
      </c>
    </row>
    <row r="15" spans="1:12" s="71" customFormat="1" ht="15.75" customHeight="1" x14ac:dyDescent="0.25">
      <c r="A15" s="64" t="s">
        <v>125</v>
      </c>
      <c r="B15" s="65">
        <v>80</v>
      </c>
      <c r="C15" s="66" t="s">
        <v>260</v>
      </c>
      <c r="D15" s="64" t="s">
        <v>259</v>
      </c>
      <c r="E15" s="64" t="s">
        <v>128</v>
      </c>
      <c r="F15" s="64" t="s">
        <v>44</v>
      </c>
      <c r="G15" s="118" t="s">
        <v>112</v>
      </c>
      <c r="H15" s="120">
        <v>14354.54</v>
      </c>
      <c r="I15" s="68">
        <f>17529.41+2600.69</f>
        <v>20130.099999999999</v>
      </c>
      <c r="J15" s="68">
        <f>5800.52</f>
        <v>5800.52</v>
      </c>
      <c r="K15" s="69">
        <f t="shared" si="0"/>
        <v>14329.579999999998</v>
      </c>
      <c r="L15" s="70" t="s">
        <v>283</v>
      </c>
    </row>
    <row r="16" spans="1:12" s="71" customFormat="1" ht="15.75" customHeight="1" x14ac:dyDescent="0.25">
      <c r="A16" s="64" t="s">
        <v>129</v>
      </c>
      <c r="B16" s="65">
        <v>54</v>
      </c>
      <c r="C16" s="66" t="s">
        <v>272</v>
      </c>
      <c r="D16" s="64" t="s">
        <v>273</v>
      </c>
      <c r="E16" s="64" t="s">
        <v>128</v>
      </c>
      <c r="F16" s="64" t="s">
        <v>46</v>
      </c>
      <c r="G16" s="118" t="s">
        <v>112</v>
      </c>
      <c r="H16" s="120">
        <v>9935.02</v>
      </c>
      <c r="I16" s="68">
        <f>14379.99+3322.57</f>
        <v>17702.560000000001</v>
      </c>
      <c r="J16" s="68">
        <f>4639.15+2489.58</f>
        <v>7128.73</v>
      </c>
      <c r="K16" s="69">
        <f t="shared" si="0"/>
        <v>10573.830000000002</v>
      </c>
      <c r="L16" s="70" t="s">
        <v>294</v>
      </c>
    </row>
    <row r="17" spans="1:15" s="71" customFormat="1" x14ac:dyDescent="0.25">
      <c r="A17" s="64" t="s">
        <v>132</v>
      </c>
      <c r="B17" s="65">
        <v>4</v>
      </c>
      <c r="C17" s="66" t="s">
        <v>261</v>
      </c>
      <c r="D17" s="64" t="s">
        <v>259</v>
      </c>
      <c r="E17" s="64" t="s">
        <v>122</v>
      </c>
      <c r="F17" s="64" t="s">
        <v>44</v>
      </c>
      <c r="G17" s="118" t="s">
        <v>112</v>
      </c>
      <c r="H17" s="120">
        <v>16640.849999999999</v>
      </c>
      <c r="I17" s="68">
        <v>17972.12</v>
      </c>
      <c r="J17" s="68">
        <v>4973.1400000000003</v>
      </c>
      <c r="K17" s="69">
        <f t="shared" si="0"/>
        <v>12998.98</v>
      </c>
      <c r="L17" s="70" t="s">
        <v>223</v>
      </c>
      <c r="O17" s="109"/>
    </row>
    <row r="18" spans="1:15" s="71" customFormat="1" x14ac:dyDescent="0.25">
      <c r="A18" s="64" t="s">
        <v>134</v>
      </c>
      <c r="B18" s="65">
        <v>85</v>
      </c>
      <c r="C18" s="66" t="s">
        <v>280</v>
      </c>
      <c r="D18" s="64" t="s">
        <v>258</v>
      </c>
      <c r="E18" s="64" t="s">
        <v>122</v>
      </c>
      <c r="F18" s="64" t="s">
        <v>48</v>
      </c>
      <c r="G18" s="118" t="s">
        <v>112</v>
      </c>
      <c r="H18" s="119">
        <v>9566.85</v>
      </c>
      <c r="I18" s="72">
        <f>10078.48+2737.5</f>
        <v>12815.98</v>
      </c>
      <c r="J18" s="68">
        <v>2448.11</v>
      </c>
      <c r="K18" s="69">
        <f t="shared" si="0"/>
        <v>10367.869999999999</v>
      </c>
      <c r="L18" s="70" t="s">
        <v>248</v>
      </c>
      <c r="O18" s="109"/>
    </row>
    <row r="19" spans="1:15" s="71" customFormat="1" ht="15.75" customHeight="1" x14ac:dyDescent="0.25">
      <c r="A19" s="64" t="s">
        <v>136</v>
      </c>
      <c r="B19" s="65">
        <v>75</v>
      </c>
      <c r="C19" s="66" t="s">
        <v>275</v>
      </c>
      <c r="D19" s="64" t="s">
        <v>274</v>
      </c>
      <c r="E19" s="64" t="s">
        <v>128</v>
      </c>
      <c r="F19" s="64" t="s">
        <v>42</v>
      </c>
      <c r="G19" s="118" t="s">
        <v>112</v>
      </c>
      <c r="H19" s="120">
        <v>9849.7199999999993</v>
      </c>
      <c r="I19" s="68">
        <f>14535.32+1095+3322.57</f>
        <v>18952.89</v>
      </c>
      <c r="J19" s="68">
        <f>4552.26+1521.49</f>
        <v>6073.75</v>
      </c>
      <c r="K19" s="69">
        <f t="shared" si="0"/>
        <v>12879.14</v>
      </c>
      <c r="L19" s="70" t="s">
        <v>288</v>
      </c>
    </row>
    <row r="20" spans="1:15" s="71" customFormat="1" x14ac:dyDescent="0.25">
      <c r="A20" s="64" t="s">
        <v>138</v>
      </c>
      <c r="B20" s="65">
        <v>57</v>
      </c>
      <c r="C20" s="66" t="s">
        <v>262</v>
      </c>
      <c r="D20" s="64" t="s">
        <v>259</v>
      </c>
      <c r="E20" s="64" t="s">
        <v>122</v>
      </c>
      <c r="F20" s="73" t="s">
        <v>64</v>
      </c>
      <c r="G20" s="118" t="s">
        <v>112</v>
      </c>
      <c r="H20" s="120">
        <v>13530.53</v>
      </c>
      <c r="I20" s="68">
        <v>15502.03</v>
      </c>
      <c r="J20" s="68">
        <v>3609.41</v>
      </c>
      <c r="K20" s="69">
        <f t="shared" si="0"/>
        <v>11892.62</v>
      </c>
      <c r="L20" s="70" t="s">
        <v>140</v>
      </c>
    </row>
    <row r="21" spans="1:15" s="71" customFormat="1" x14ac:dyDescent="0.25">
      <c r="A21" s="64" t="s">
        <v>141</v>
      </c>
      <c r="B21" s="65">
        <v>58</v>
      </c>
      <c r="C21" s="66" t="s">
        <v>276</v>
      </c>
      <c r="D21" s="64" t="s">
        <v>274</v>
      </c>
      <c r="E21" s="64" t="s">
        <v>143</v>
      </c>
      <c r="F21" s="73" t="s">
        <v>64</v>
      </c>
      <c r="G21" s="118" t="s">
        <v>112</v>
      </c>
      <c r="H21" s="120">
        <v>7775.46</v>
      </c>
      <c r="I21" s="68">
        <v>10047.51</v>
      </c>
      <c r="J21" s="68">
        <v>2153.1</v>
      </c>
      <c r="K21" s="69">
        <f t="shared" si="0"/>
        <v>7894.41</v>
      </c>
      <c r="L21" s="70" t="s">
        <v>144</v>
      </c>
    </row>
    <row r="22" spans="1:15" s="71" customFormat="1" x14ac:dyDescent="0.25">
      <c r="A22" s="64" t="s">
        <v>145</v>
      </c>
      <c r="B22" s="65">
        <v>14</v>
      </c>
      <c r="C22" s="66" t="s">
        <v>261</v>
      </c>
      <c r="D22" s="64" t="s">
        <v>259</v>
      </c>
      <c r="E22" s="64" t="s">
        <v>128</v>
      </c>
      <c r="F22" s="64" t="s">
        <v>36</v>
      </c>
      <c r="G22" s="118" t="s">
        <v>112</v>
      </c>
      <c r="H22" s="120">
        <v>16640.849999999999</v>
      </c>
      <c r="I22" s="68">
        <f>20723.12+2299.5+2751</f>
        <v>25773.62</v>
      </c>
      <c r="J22" s="68">
        <f>6261.86+1650.02</f>
        <v>7911.8799999999992</v>
      </c>
      <c r="K22" s="69">
        <f t="shared" si="0"/>
        <v>17861.739999999998</v>
      </c>
      <c r="L22" s="70" t="s">
        <v>292</v>
      </c>
    </row>
    <row r="23" spans="1:15" s="71" customFormat="1" x14ac:dyDescent="0.25">
      <c r="A23" s="64" t="s">
        <v>147</v>
      </c>
      <c r="B23" s="65">
        <v>44</v>
      </c>
      <c r="C23" s="66" t="s">
        <v>263</v>
      </c>
      <c r="D23" s="64" t="s">
        <v>259</v>
      </c>
      <c r="E23" s="64" t="s">
        <v>122</v>
      </c>
      <c r="F23" s="64" t="s">
        <v>40</v>
      </c>
      <c r="G23" s="118" t="s">
        <v>112</v>
      </c>
      <c r="H23" s="120">
        <v>12753.83</v>
      </c>
      <c r="I23" s="68">
        <f>14364.38+1100.4</f>
        <v>15464.779999999999</v>
      </c>
      <c r="J23" s="68">
        <v>4344.8900000000003</v>
      </c>
      <c r="K23" s="69">
        <f t="shared" si="0"/>
        <v>11119.89</v>
      </c>
      <c r="L23" s="70" t="s">
        <v>293</v>
      </c>
    </row>
    <row r="24" spans="1:15" s="71" customFormat="1" x14ac:dyDescent="0.25">
      <c r="A24" s="64" t="s">
        <v>149</v>
      </c>
      <c r="B24" s="65">
        <v>61</v>
      </c>
      <c r="C24" s="66" t="s">
        <v>280</v>
      </c>
      <c r="D24" s="64" t="s">
        <v>258</v>
      </c>
      <c r="E24" s="64" t="s">
        <v>122</v>
      </c>
      <c r="F24" s="64" t="s">
        <v>34</v>
      </c>
      <c r="G24" s="118" t="s">
        <v>112</v>
      </c>
      <c r="H24" s="120">
        <v>12482.57</v>
      </c>
      <c r="I24" s="68">
        <v>13206.87</v>
      </c>
      <c r="J24" s="68">
        <v>3404.87</v>
      </c>
      <c r="K24" s="69">
        <f t="shared" si="0"/>
        <v>9802</v>
      </c>
      <c r="L24" s="70" t="s">
        <v>239</v>
      </c>
    </row>
    <row r="25" spans="1:15" s="71" customFormat="1" x14ac:dyDescent="0.25">
      <c r="A25" s="64" t="s">
        <v>151</v>
      </c>
      <c r="B25" s="65">
        <v>13</v>
      </c>
      <c r="C25" s="66" t="s">
        <v>261</v>
      </c>
      <c r="D25" s="64" t="s">
        <v>259</v>
      </c>
      <c r="E25" s="64" t="s">
        <v>128</v>
      </c>
      <c r="F25" s="64" t="s">
        <v>32</v>
      </c>
      <c r="G25" s="118" t="s">
        <v>112</v>
      </c>
      <c r="H25" s="120">
        <v>16640.849999999999</v>
      </c>
      <c r="I25" s="68">
        <f>20723.12+3394.5+2751</f>
        <v>26868.62</v>
      </c>
      <c r="J25" s="68">
        <f>6864.43+1650.02</f>
        <v>8514.4500000000007</v>
      </c>
      <c r="K25" s="69">
        <f t="shared" si="0"/>
        <v>18354.169999999998</v>
      </c>
      <c r="L25" s="70" t="s">
        <v>291</v>
      </c>
    </row>
    <row r="26" spans="1:15" s="71" customFormat="1" x14ac:dyDescent="0.25">
      <c r="A26" s="64" t="s">
        <v>152</v>
      </c>
      <c r="B26" s="65">
        <v>73</v>
      </c>
      <c r="C26" s="66" t="s">
        <v>265</v>
      </c>
      <c r="D26" s="64" t="s">
        <v>153</v>
      </c>
      <c r="E26" s="64" t="s">
        <v>153</v>
      </c>
      <c r="F26" s="64" t="s">
        <v>40</v>
      </c>
      <c r="G26" s="118" t="s">
        <v>112</v>
      </c>
      <c r="H26" s="120">
        <v>14354.54</v>
      </c>
      <c r="I26" s="68">
        <f>17159.37+2299.5+1650.6</f>
        <v>21109.469999999998</v>
      </c>
      <c r="J26" s="68">
        <f>4867.64+1401.11</f>
        <v>6268.75</v>
      </c>
      <c r="K26" s="69">
        <f t="shared" si="0"/>
        <v>14840.719999999998</v>
      </c>
      <c r="L26" s="70" t="s">
        <v>229</v>
      </c>
    </row>
    <row r="27" spans="1:15" s="71" customFormat="1" x14ac:dyDescent="0.25">
      <c r="A27" s="64" t="s">
        <v>155</v>
      </c>
      <c r="B27" s="65">
        <v>89</v>
      </c>
      <c r="C27" s="66" t="s">
        <v>279</v>
      </c>
      <c r="D27" s="64" t="s">
        <v>258</v>
      </c>
      <c r="E27" s="64" t="s">
        <v>122</v>
      </c>
      <c r="F27" s="64" t="s">
        <v>32</v>
      </c>
      <c r="G27" s="118" t="s">
        <v>112</v>
      </c>
      <c r="H27" s="119">
        <v>9566.85</v>
      </c>
      <c r="I27" s="68">
        <f>11217.45+1650.6</f>
        <v>12868.050000000001</v>
      </c>
      <c r="J27" s="68">
        <f>3330.53+947.49</f>
        <v>4278.0200000000004</v>
      </c>
      <c r="K27" s="69">
        <f t="shared" si="0"/>
        <v>8590.0300000000007</v>
      </c>
      <c r="L27" s="70" t="s">
        <v>228</v>
      </c>
    </row>
    <row r="28" spans="1:15" s="71" customFormat="1" x14ac:dyDescent="0.25">
      <c r="A28" s="64" t="s">
        <v>157</v>
      </c>
      <c r="B28" s="65">
        <v>60</v>
      </c>
      <c r="C28" s="66" t="s">
        <v>270</v>
      </c>
      <c r="D28" s="64" t="s">
        <v>269</v>
      </c>
      <c r="E28" s="64" t="s">
        <v>128</v>
      </c>
      <c r="F28" s="64" t="s">
        <v>16</v>
      </c>
      <c r="G28" s="118" t="s">
        <v>117</v>
      </c>
      <c r="H28" s="120">
        <v>18967.3</v>
      </c>
      <c r="I28" s="68">
        <f>23773.33+2751</f>
        <v>26524.33</v>
      </c>
      <c r="J28" s="68">
        <f>6583.9+1896.23</f>
        <v>8480.1299999999992</v>
      </c>
      <c r="K28" s="69">
        <f>I28-J28</f>
        <v>18044.200000000004</v>
      </c>
      <c r="L28" s="70" t="s">
        <v>295</v>
      </c>
    </row>
    <row r="29" spans="1:15" s="71" customFormat="1" ht="15.75" customHeight="1" x14ac:dyDescent="0.25">
      <c r="A29" s="64" t="s">
        <v>160</v>
      </c>
      <c r="B29" s="65">
        <v>81</v>
      </c>
      <c r="C29" s="66" t="s">
        <v>271</v>
      </c>
      <c r="D29" s="64" t="s">
        <v>269</v>
      </c>
      <c r="E29" s="64" t="s">
        <v>128</v>
      </c>
      <c r="F29" s="64" t="s">
        <v>16</v>
      </c>
      <c r="G29" s="118" t="s">
        <v>117</v>
      </c>
      <c r="H29" s="120">
        <v>15884.81</v>
      </c>
      <c r="I29" s="68">
        <f>18803.2+2751</f>
        <v>21554.2</v>
      </c>
      <c r="J29" s="68">
        <f>5708.6+1576.66</f>
        <v>7285.26</v>
      </c>
      <c r="K29" s="69">
        <f t="shared" si="0"/>
        <v>14268.94</v>
      </c>
      <c r="L29" s="70" t="s">
        <v>289</v>
      </c>
    </row>
    <row r="30" spans="1:15" s="71" customFormat="1" ht="15.75" customHeight="1" x14ac:dyDescent="0.25">
      <c r="A30" s="64" t="s">
        <v>164</v>
      </c>
      <c r="B30" s="65">
        <v>76</v>
      </c>
      <c r="C30" s="66" t="s">
        <v>275</v>
      </c>
      <c r="D30" s="64" t="s">
        <v>274</v>
      </c>
      <c r="E30" s="64" t="s">
        <v>128</v>
      </c>
      <c r="F30" s="64" t="s">
        <v>48</v>
      </c>
      <c r="G30" s="118" t="s">
        <v>112</v>
      </c>
      <c r="H30" s="120">
        <v>9849.7199999999993</v>
      </c>
      <c r="I30" s="68">
        <f>14066.28+3394.5+3322.57</f>
        <v>20783.349999999999</v>
      </c>
      <c r="J30" s="68">
        <f>6216.9+2489.58</f>
        <v>8706.48</v>
      </c>
      <c r="K30" s="69">
        <f t="shared" si="0"/>
        <v>12076.869999999999</v>
      </c>
      <c r="L30" s="70" t="s">
        <v>283</v>
      </c>
    </row>
    <row r="31" spans="1:15" s="71" customFormat="1" x14ac:dyDescent="0.25">
      <c r="A31" s="64" t="s">
        <v>166</v>
      </c>
      <c r="B31" s="65">
        <v>8</v>
      </c>
      <c r="C31" s="66" t="s">
        <v>264</v>
      </c>
      <c r="D31" s="64" t="s">
        <v>259</v>
      </c>
      <c r="E31" s="64" t="s">
        <v>128</v>
      </c>
      <c r="F31" s="64" t="s">
        <v>30</v>
      </c>
      <c r="G31" s="118" t="s">
        <v>112</v>
      </c>
      <c r="H31" s="120">
        <v>15685.6</v>
      </c>
      <c r="I31" s="68">
        <f>19691.45+2751</f>
        <v>22442.45</v>
      </c>
      <c r="J31" s="68">
        <f>6152.36+1562.23</f>
        <v>7714.59</v>
      </c>
      <c r="K31" s="69">
        <f t="shared" si="0"/>
        <v>14727.86</v>
      </c>
      <c r="L31" s="70" t="s">
        <v>283</v>
      </c>
    </row>
    <row r="32" spans="1:15" s="71" customFormat="1" x14ac:dyDescent="0.25">
      <c r="A32" s="64" t="s">
        <v>168</v>
      </c>
      <c r="B32" s="65">
        <v>79</v>
      </c>
      <c r="C32" s="66" t="s">
        <v>277</v>
      </c>
      <c r="D32" s="64" t="s">
        <v>274</v>
      </c>
      <c r="E32" s="64" t="s">
        <v>143</v>
      </c>
      <c r="F32" s="64" t="s">
        <v>30</v>
      </c>
      <c r="G32" s="118" t="s">
        <v>112</v>
      </c>
      <c r="H32" s="120">
        <v>8248.98</v>
      </c>
      <c r="I32" s="68">
        <f>15358.89+1650.6</f>
        <v>17009.489999999998</v>
      </c>
      <c r="J32" s="68">
        <f>8594.04+805.57</f>
        <v>9399.61</v>
      </c>
      <c r="K32" s="69">
        <f t="shared" si="0"/>
        <v>7609.8799999999974</v>
      </c>
      <c r="L32" s="70" t="s">
        <v>285</v>
      </c>
    </row>
    <row r="33" spans="1:12" s="71" customFormat="1" x14ac:dyDescent="0.25">
      <c r="A33" s="64" t="s">
        <v>171</v>
      </c>
      <c r="B33" s="65">
        <v>49</v>
      </c>
      <c r="C33" s="66" t="s">
        <v>277</v>
      </c>
      <c r="D33" s="64" t="s">
        <v>274</v>
      </c>
      <c r="E33" s="64" t="s">
        <v>143</v>
      </c>
      <c r="F33" s="64" t="s">
        <v>40</v>
      </c>
      <c r="G33" s="118" t="s">
        <v>112</v>
      </c>
      <c r="H33" s="120">
        <v>8248.98</v>
      </c>
      <c r="I33" s="68">
        <v>9078.94</v>
      </c>
      <c r="J33" s="68">
        <v>2303.1799999999998</v>
      </c>
      <c r="K33" s="69">
        <f t="shared" si="0"/>
        <v>6775.76</v>
      </c>
      <c r="L33" s="70" t="s">
        <v>233</v>
      </c>
    </row>
    <row r="34" spans="1:12" s="71" customFormat="1" x14ac:dyDescent="0.25">
      <c r="A34" s="64" t="s">
        <v>173</v>
      </c>
      <c r="B34" s="65">
        <v>86</v>
      </c>
      <c r="C34" s="66" t="s">
        <v>158</v>
      </c>
      <c r="D34" s="64" t="s">
        <v>258</v>
      </c>
      <c r="E34" s="64" t="s">
        <v>122</v>
      </c>
      <c r="F34" s="64" t="s">
        <v>36</v>
      </c>
      <c r="G34" s="118" t="s">
        <v>112</v>
      </c>
      <c r="H34" s="120">
        <v>9017.67</v>
      </c>
      <c r="I34" s="68">
        <v>9017.67</v>
      </c>
      <c r="J34" s="68">
        <v>2612.5700000000002</v>
      </c>
      <c r="K34" s="69">
        <f t="shared" si="0"/>
        <v>6405.1</v>
      </c>
      <c r="L34" s="70" t="s">
        <v>223</v>
      </c>
    </row>
    <row r="35" spans="1:12" s="71" customFormat="1" x14ac:dyDescent="0.25">
      <c r="A35" s="64" t="s">
        <v>175</v>
      </c>
      <c r="B35" s="65">
        <v>65</v>
      </c>
      <c r="C35" s="66" t="s">
        <v>280</v>
      </c>
      <c r="D35" s="64" t="s">
        <v>258</v>
      </c>
      <c r="E35" s="64" t="s">
        <v>122</v>
      </c>
      <c r="F35" s="64" t="s">
        <v>32</v>
      </c>
      <c r="G35" s="118" t="s">
        <v>112</v>
      </c>
      <c r="H35" s="120">
        <v>12482.57</v>
      </c>
      <c r="I35" s="68">
        <v>12981.87</v>
      </c>
      <c r="J35" s="68">
        <v>3351.21</v>
      </c>
      <c r="K35" s="69">
        <f t="shared" si="0"/>
        <v>9630.66</v>
      </c>
      <c r="L35" s="70" t="s">
        <v>223</v>
      </c>
    </row>
    <row r="36" spans="1:12" s="71" customFormat="1" ht="15.75" customHeight="1" x14ac:dyDescent="0.25">
      <c r="A36" s="64" t="s">
        <v>177</v>
      </c>
      <c r="B36" s="65">
        <v>35</v>
      </c>
      <c r="C36" s="66" t="s">
        <v>278</v>
      </c>
      <c r="D36" s="64" t="s">
        <v>274</v>
      </c>
      <c r="E36" s="64" t="s">
        <v>128</v>
      </c>
      <c r="F36" s="64" t="s">
        <v>34</v>
      </c>
      <c r="G36" s="118" t="s">
        <v>112</v>
      </c>
      <c r="H36" s="120">
        <v>9284.2999999999993</v>
      </c>
      <c r="I36" s="68">
        <f>14241.62+3900.26</f>
        <v>18141.88</v>
      </c>
      <c r="J36" s="68">
        <f>5158.73+1599.8</f>
        <v>6758.53</v>
      </c>
      <c r="K36" s="69">
        <f t="shared" si="0"/>
        <v>11383.350000000002</v>
      </c>
      <c r="L36" s="70" t="s">
        <v>286</v>
      </c>
    </row>
    <row r="37" spans="1:12" s="71" customFormat="1" ht="15.75" customHeight="1" x14ac:dyDescent="0.25">
      <c r="A37" s="64" t="s">
        <v>180</v>
      </c>
      <c r="B37" s="65">
        <v>56</v>
      </c>
      <c r="C37" s="66" t="s">
        <v>266</v>
      </c>
      <c r="D37" s="64" t="s">
        <v>153</v>
      </c>
      <c r="E37" s="64" t="s">
        <v>128</v>
      </c>
      <c r="F37" s="64" t="s">
        <v>40</v>
      </c>
      <c r="G37" s="118" t="s">
        <v>112</v>
      </c>
      <c r="H37" s="120">
        <v>16585.59</v>
      </c>
      <c r="I37" s="68">
        <f>20606.19+2751</f>
        <v>23357.19</v>
      </c>
      <c r="J37" s="68">
        <f>6007.01+1650.02</f>
        <v>7657.0300000000007</v>
      </c>
      <c r="K37" s="69">
        <f t="shared" si="0"/>
        <v>15700.159999999998</v>
      </c>
      <c r="L37" s="70" t="s">
        <v>287</v>
      </c>
    </row>
    <row r="38" spans="1:12" s="71" customFormat="1" x14ac:dyDescent="0.25">
      <c r="A38" s="64" t="s">
        <v>182</v>
      </c>
      <c r="B38" s="65">
        <v>34</v>
      </c>
      <c r="C38" s="66" t="s">
        <v>275</v>
      </c>
      <c r="D38" s="64" t="s">
        <v>274</v>
      </c>
      <c r="E38" s="64" t="s">
        <v>143</v>
      </c>
      <c r="F38" s="64" t="s">
        <v>34</v>
      </c>
      <c r="G38" s="118" t="s">
        <v>112</v>
      </c>
      <c r="H38" s="120">
        <v>9849.7199999999993</v>
      </c>
      <c r="I38" s="68">
        <v>10940.7</v>
      </c>
      <c r="J38" s="68">
        <v>2800.51</v>
      </c>
      <c r="K38" s="69">
        <f t="shared" si="0"/>
        <v>8140.1900000000005</v>
      </c>
      <c r="L38" s="70" t="s">
        <v>233</v>
      </c>
    </row>
    <row r="39" spans="1:12" s="71" customFormat="1" x14ac:dyDescent="0.25">
      <c r="A39" s="64" t="s">
        <v>183</v>
      </c>
      <c r="B39" s="65">
        <v>69</v>
      </c>
      <c r="C39" s="66" t="s">
        <v>267</v>
      </c>
      <c r="D39" s="64" t="s">
        <v>184</v>
      </c>
      <c r="E39" s="64" t="s">
        <v>128</v>
      </c>
      <c r="F39" s="64" t="s">
        <v>10</v>
      </c>
      <c r="G39" s="118" t="s">
        <v>185</v>
      </c>
      <c r="H39" s="120">
        <v>13330.9</v>
      </c>
      <c r="I39" s="68">
        <f>18316.57+2751</f>
        <v>21067.57</v>
      </c>
      <c r="J39" s="68">
        <f>5013.23</f>
        <v>5013.2299999999996</v>
      </c>
      <c r="K39" s="69">
        <f t="shared" si="0"/>
        <v>16054.34</v>
      </c>
      <c r="L39" s="70" t="s">
        <v>287</v>
      </c>
    </row>
    <row r="40" spans="1:12" s="71" customFormat="1" x14ac:dyDescent="0.25">
      <c r="A40" s="64" t="s">
        <v>187</v>
      </c>
      <c r="B40" s="65">
        <v>51</v>
      </c>
      <c r="C40" s="66" t="s">
        <v>281</v>
      </c>
      <c r="D40" s="64" t="s">
        <v>274</v>
      </c>
      <c r="E40" s="64" t="s">
        <v>143</v>
      </c>
      <c r="F40" s="64" t="s">
        <v>36</v>
      </c>
      <c r="G40" s="118" t="s">
        <v>112</v>
      </c>
      <c r="H40" s="120">
        <v>8248.98</v>
      </c>
      <c r="I40" s="68">
        <v>9078.94</v>
      </c>
      <c r="J40" s="68">
        <v>2371.59</v>
      </c>
      <c r="K40" s="69">
        <f t="shared" si="0"/>
        <v>6707.35</v>
      </c>
      <c r="L40" s="70" t="s">
        <v>233</v>
      </c>
    </row>
    <row r="41" spans="1:12" s="71" customFormat="1" x14ac:dyDescent="0.25">
      <c r="A41" s="64" t="s">
        <v>188</v>
      </c>
      <c r="B41" s="65">
        <v>70</v>
      </c>
      <c r="C41" s="66" t="s">
        <v>268</v>
      </c>
      <c r="D41" s="64" t="s">
        <v>184</v>
      </c>
      <c r="E41" s="64" t="s">
        <v>184</v>
      </c>
      <c r="F41" s="64" t="s">
        <v>10</v>
      </c>
      <c r="G41" s="118" t="s">
        <v>185</v>
      </c>
      <c r="H41" s="120">
        <v>12565.65</v>
      </c>
      <c r="I41" s="68">
        <v>13919.83</v>
      </c>
      <c r="J41" s="68">
        <v>5123.6899999999996</v>
      </c>
      <c r="K41" s="69">
        <f t="shared" si="0"/>
        <v>8796.14</v>
      </c>
      <c r="L41" s="70" t="s">
        <v>239</v>
      </c>
    </row>
    <row r="42" spans="1:12" s="71" customFormat="1" x14ac:dyDescent="0.25">
      <c r="A42" s="76" t="s">
        <v>235</v>
      </c>
      <c r="B42" s="77">
        <v>1035</v>
      </c>
      <c r="C42" s="78"/>
      <c r="D42" s="76" t="s">
        <v>194</v>
      </c>
      <c r="E42" s="76" t="s">
        <v>191</v>
      </c>
      <c r="F42" s="76" t="s">
        <v>30</v>
      </c>
      <c r="G42" s="79" t="s">
        <v>117</v>
      </c>
      <c r="H42" s="80">
        <v>1200</v>
      </c>
      <c r="I42" s="80">
        <v>1428</v>
      </c>
      <c r="J42" s="80">
        <v>0</v>
      </c>
      <c r="K42" s="69">
        <f t="shared" si="0"/>
        <v>1428</v>
      </c>
      <c r="L42" s="82" t="s">
        <v>192</v>
      </c>
    </row>
    <row r="43" spans="1:12" s="71" customFormat="1" x14ac:dyDescent="0.25">
      <c r="A43" s="76" t="s">
        <v>240</v>
      </c>
      <c r="B43" s="77">
        <v>1036</v>
      </c>
      <c r="C43" s="78"/>
      <c r="D43" s="76" t="s">
        <v>194</v>
      </c>
      <c r="E43" s="76" t="s">
        <v>191</v>
      </c>
      <c r="F43" s="76" t="s">
        <v>10</v>
      </c>
      <c r="G43" s="79" t="s">
        <v>117</v>
      </c>
      <c r="H43" s="80">
        <v>1200</v>
      </c>
      <c r="I43" s="80">
        <v>1028</v>
      </c>
      <c r="J43" s="80">
        <v>0</v>
      </c>
      <c r="K43" s="81">
        <f t="shared" si="0"/>
        <v>1028</v>
      </c>
      <c r="L43" s="82" t="s">
        <v>192</v>
      </c>
    </row>
    <row r="44" spans="1:12" s="83" customFormat="1" x14ac:dyDescent="0.25">
      <c r="A44" s="76" t="s">
        <v>193</v>
      </c>
      <c r="B44" s="77">
        <v>1025</v>
      </c>
      <c r="C44" s="78"/>
      <c r="D44" s="76" t="s">
        <v>194</v>
      </c>
      <c r="E44" s="76" t="s">
        <v>191</v>
      </c>
      <c r="F44" s="76" t="s">
        <v>38</v>
      </c>
      <c r="G44" s="79" t="s">
        <v>117</v>
      </c>
      <c r="H44" s="84">
        <v>1200</v>
      </c>
      <c r="I44" s="80">
        <v>1300</v>
      </c>
      <c r="J44" s="81">
        <v>0</v>
      </c>
      <c r="K44" s="81">
        <f t="shared" si="0"/>
        <v>1300</v>
      </c>
      <c r="L44" s="82" t="s">
        <v>192</v>
      </c>
    </row>
    <row r="45" spans="1:12" s="83" customFormat="1" x14ac:dyDescent="0.25">
      <c r="A45" s="76" t="s">
        <v>252</v>
      </c>
      <c r="B45" s="77">
        <v>1038</v>
      </c>
      <c r="C45" s="78"/>
      <c r="D45" s="76" t="s">
        <v>194</v>
      </c>
      <c r="E45" s="76" t="s">
        <v>191</v>
      </c>
      <c r="F45" s="76" t="s">
        <v>38</v>
      </c>
      <c r="G45" s="79" t="s">
        <v>117</v>
      </c>
      <c r="H45" s="84">
        <v>1200</v>
      </c>
      <c r="I45" s="80">
        <v>1428</v>
      </c>
      <c r="J45" s="81">
        <v>0</v>
      </c>
      <c r="K45" s="81">
        <f t="shared" si="0"/>
        <v>1428</v>
      </c>
      <c r="L45" s="82" t="s">
        <v>254</v>
      </c>
    </row>
    <row r="46" spans="1:12" s="83" customFormat="1" x14ac:dyDescent="0.25">
      <c r="A46" s="76" t="s">
        <v>253</v>
      </c>
      <c r="B46" s="77">
        <v>1039</v>
      </c>
      <c r="C46" s="78"/>
      <c r="D46" s="76" t="s">
        <v>190</v>
      </c>
      <c r="E46" s="76" t="s">
        <v>191</v>
      </c>
      <c r="F46" s="76" t="s">
        <v>40</v>
      </c>
      <c r="G46" s="79" t="s">
        <v>117</v>
      </c>
      <c r="H46" s="84">
        <v>1200</v>
      </c>
      <c r="I46" s="80">
        <v>1428</v>
      </c>
      <c r="J46" s="81">
        <v>0</v>
      </c>
      <c r="K46" s="81">
        <f t="shared" si="0"/>
        <v>1428</v>
      </c>
      <c r="L46" s="82" t="s">
        <v>254</v>
      </c>
    </row>
    <row r="47" spans="1:12" s="83" customFormat="1" x14ac:dyDescent="0.25">
      <c r="A47" s="76" t="s">
        <v>241</v>
      </c>
      <c r="B47" s="77">
        <v>1037</v>
      </c>
      <c r="C47" s="78"/>
      <c r="D47" s="76" t="s">
        <v>190</v>
      </c>
      <c r="E47" s="76" t="s">
        <v>191</v>
      </c>
      <c r="F47" s="76" t="s">
        <v>10</v>
      </c>
      <c r="G47" s="79" t="s">
        <v>117</v>
      </c>
      <c r="H47" s="80">
        <v>1200</v>
      </c>
      <c r="I47" s="80">
        <v>1428</v>
      </c>
      <c r="J47" s="81">
        <v>0</v>
      </c>
      <c r="K47" s="81">
        <f t="shared" si="0"/>
        <v>1428</v>
      </c>
      <c r="L47" s="82" t="s">
        <v>192</v>
      </c>
    </row>
    <row r="48" spans="1:12" s="83" customFormat="1" x14ac:dyDescent="0.25">
      <c r="A48" s="76" t="s">
        <v>195</v>
      </c>
      <c r="B48" s="77">
        <v>1032</v>
      </c>
      <c r="C48" s="78"/>
      <c r="D48" s="76" t="s">
        <v>194</v>
      </c>
      <c r="E48" s="76" t="s">
        <v>191</v>
      </c>
      <c r="F48" s="76" t="s">
        <v>30</v>
      </c>
      <c r="G48" s="79" t="s">
        <v>117</v>
      </c>
      <c r="H48" s="84">
        <v>1200</v>
      </c>
      <c r="I48" s="80">
        <v>1428</v>
      </c>
      <c r="J48" s="81">
        <v>0</v>
      </c>
      <c r="K48" s="81">
        <f t="shared" si="0"/>
        <v>1428</v>
      </c>
      <c r="L48" s="82" t="s">
        <v>192</v>
      </c>
    </row>
    <row r="49" spans="1:12" s="83" customFormat="1" x14ac:dyDescent="0.25">
      <c r="A49" s="76" t="s">
        <v>236</v>
      </c>
      <c r="B49" s="77">
        <v>1034</v>
      </c>
      <c r="C49" s="78"/>
      <c r="D49" s="76" t="s">
        <v>194</v>
      </c>
      <c r="E49" s="76" t="s">
        <v>191</v>
      </c>
      <c r="F49" s="76" t="s">
        <v>30</v>
      </c>
      <c r="G49" s="79" t="s">
        <v>117</v>
      </c>
      <c r="H49" s="84">
        <v>1200</v>
      </c>
      <c r="I49" s="80">
        <v>1428</v>
      </c>
      <c r="J49" s="81">
        <v>0</v>
      </c>
      <c r="K49" s="81">
        <f t="shared" si="0"/>
        <v>1428</v>
      </c>
      <c r="L49" s="82" t="s">
        <v>192</v>
      </c>
    </row>
    <row r="50" spans="1:12" s="83" customFormat="1" x14ac:dyDescent="0.25">
      <c r="A50" s="76" t="s">
        <v>196</v>
      </c>
      <c r="B50" s="77">
        <v>1033</v>
      </c>
      <c r="C50" s="78"/>
      <c r="D50" s="76" t="s">
        <v>194</v>
      </c>
      <c r="E50" s="76" t="s">
        <v>191</v>
      </c>
      <c r="F50" s="76" t="s">
        <v>42</v>
      </c>
      <c r="G50" s="79" t="s">
        <v>117</v>
      </c>
      <c r="H50" s="84">
        <v>1200</v>
      </c>
      <c r="I50" s="80">
        <v>1428</v>
      </c>
      <c r="J50" s="81">
        <v>0</v>
      </c>
      <c r="K50" s="81">
        <f t="shared" si="0"/>
        <v>1428</v>
      </c>
      <c r="L50" s="82" t="s">
        <v>192</v>
      </c>
    </row>
    <row r="51" spans="1:12" s="83" customFormat="1" x14ac:dyDescent="0.25">
      <c r="A51" s="76" t="s">
        <v>197</v>
      </c>
      <c r="B51" s="77">
        <v>1024</v>
      </c>
      <c r="C51" s="78"/>
      <c r="D51" s="76" t="s">
        <v>194</v>
      </c>
      <c r="E51" s="76" t="s">
        <v>191</v>
      </c>
      <c r="F51" s="76" t="s">
        <v>44</v>
      </c>
      <c r="G51" s="79" t="s">
        <v>117</v>
      </c>
      <c r="H51" s="84">
        <v>1200</v>
      </c>
      <c r="I51" s="80">
        <v>1428</v>
      </c>
      <c r="J51" s="81">
        <v>0</v>
      </c>
      <c r="K51" s="81">
        <f t="shared" si="0"/>
        <v>1428</v>
      </c>
      <c r="L51" s="82" t="s">
        <v>192</v>
      </c>
    </row>
    <row r="52" spans="1:12" s="83" customFormat="1" x14ac:dyDescent="0.25">
      <c r="A52" s="76" t="s">
        <v>198</v>
      </c>
      <c r="B52" s="77">
        <v>1023</v>
      </c>
      <c r="C52" s="78"/>
      <c r="D52" s="76" t="s">
        <v>190</v>
      </c>
      <c r="E52" s="76" t="s">
        <v>191</v>
      </c>
      <c r="F52" s="76" t="s">
        <v>40</v>
      </c>
      <c r="G52" s="79" t="s">
        <v>117</v>
      </c>
      <c r="H52" s="85">
        <v>1200</v>
      </c>
      <c r="I52" s="80">
        <v>1428</v>
      </c>
      <c r="J52" s="81">
        <v>0</v>
      </c>
      <c r="K52" s="81">
        <f t="shared" si="0"/>
        <v>1428</v>
      </c>
      <c r="L52" s="82" t="s">
        <v>192</v>
      </c>
    </row>
    <row r="53" spans="1:12" s="83" customFormat="1" x14ac:dyDescent="0.25">
      <c r="A53" s="76" t="s">
        <v>290</v>
      </c>
      <c r="B53" s="77">
        <v>1040</v>
      </c>
      <c r="C53" s="78"/>
      <c r="D53" s="76" t="s">
        <v>190</v>
      </c>
      <c r="E53" s="76" t="s">
        <v>191</v>
      </c>
      <c r="F53" s="76" t="s">
        <v>40</v>
      </c>
      <c r="G53" s="79" t="s">
        <v>117</v>
      </c>
      <c r="H53" s="85">
        <v>1200</v>
      </c>
      <c r="I53" s="80">
        <v>1196</v>
      </c>
      <c r="J53" s="81">
        <v>168</v>
      </c>
      <c r="K53" s="81">
        <f t="shared" si="0"/>
        <v>1028</v>
      </c>
      <c r="L53" s="82" t="s">
        <v>192</v>
      </c>
    </row>
    <row r="54" spans="1:12" s="83" customFormat="1" x14ac:dyDescent="0.25">
      <c r="A54" s="76" t="s">
        <v>201</v>
      </c>
      <c r="B54" s="77">
        <v>1022</v>
      </c>
      <c r="C54" s="78"/>
      <c r="D54" s="76" t="s">
        <v>194</v>
      </c>
      <c r="E54" s="76" t="s">
        <v>191</v>
      </c>
      <c r="F54" s="76" t="s">
        <v>14</v>
      </c>
      <c r="G54" s="79" t="s">
        <v>117</v>
      </c>
      <c r="H54" s="85">
        <v>1200</v>
      </c>
      <c r="I54" s="80">
        <v>1428</v>
      </c>
      <c r="J54" s="81">
        <v>0</v>
      </c>
      <c r="K54" s="81">
        <f t="shared" si="0"/>
        <v>1428</v>
      </c>
      <c r="L54" s="82" t="s">
        <v>192</v>
      </c>
    </row>
    <row r="55" spans="1:12" s="83" customFormat="1" x14ac:dyDescent="0.25">
      <c r="A55" s="76" t="s">
        <v>203</v>
      </c>
      <c r="B55" s="77">
        <v>1027</v>
      </c>
      <c r="C55" s="78"/>
      <c r="D55" s="76" t="s">
        <v>194</v>
      </c>
      <c r="E55" s="76" t="s">
        <v>191</v>
      </c>
      <c r="F55" s="76" t="s">
        <v>14</v>
      </c>
      <c r="G55" s="79" t="s">
        <v>117</v>
      </c>
      <c r="H55" s="84">
        <v>1200</v>
      </c>
      <c r="I55" s="84">
        <v>1428</v>
      </c>
      <c r="J55" s="81">
        <v>0</v>
      </c>
      <c r="K55" s="81">
        <f t="shared" si="0"/>
        <v>1428</v>
      </c>
      <c r="L55" s="82" t="s">
        <v>192</v>
      </c>
    </row>
    <row r="56" spans="1:12" s="83" customFormat="1" x14ac:dyDescent="0.25">
      <c r="A56" s="76" t="s">
        <v>204</v>
      </c>
      <c r="B56" s="77">
        <v>1028</v>
      </c>
      <c r="C56" s="78"/>
      <c r="D56" s="76" t="s">
        <v>194</v>
      </c>
      <c r="E56" s="76" t="s">
        <v>191</v>
      </c>
      <c r="F56" s="76" t="s">
        <v>42</v>
      </c>
      <c r="G56" s="79" t="s">
        <v>117</v>
      </c>
      <c r="H56" s="84">
        <v>1200</v>
      </c>
      <c r="I56" s="84">
        <v>1428</v>
      </c>
      <c r="J56" s="81">
        <v>0</v>
      </c>
      <c r="K56" s="81">
        <f t="shared" si="0"/>
        <v>1428</v>
      </c>
      <c r="L56" s="82" t="s">
        <v>192</v>
      </c>
    </row>
    <row r="57" spans="1:12" s="83" customFormat="1" x14ac:dyDescent="0.25">
      <c r="A57" s="86" t="s">
        <v>205</v>
      </c>
      <c r="B57" s="87">
        <v>2106</v>
      </c>
      <c r="C57" s="88"/>
      <c r="D57" s="86" t="s">
        <v>206</v>
      </c>
      <c r="E57" s="86" t="s">
        <v>206</v>
      </c>
      <c r="F57" s="86" t="s">
        <v>207</v>
      </c>
      <c r="G57" s="89" t="s">
        <v>112</v>
      </c>
      <c r="H57" s="90">
        <v>3666.67</v>
      </c>
      <c r="I57" s="90">
        <v>3666.67</v>
      </c>
      <c r="J57" s="91">
        <v>0</v>
      </c>
      <c r="K57" s="91">
        <f t="shared" si="0"/>
        <v>3666.67</v>
      </c>
      <c r="L57" s="111" t="s">
        <v>208</v>
      </c>
    </row>
    <row r="58" spans="1:12" s="83" customFormat="1" x14ac:dyDescent="0.25">
      <c r="A58" s="86" t="s">
        <v>209</v>
      </c>
      <c r="B58" s="87">
        <v>2107</v>
      </c>
      <c r="C58" s="88"/>
      <c r="D58" s="86" t="s">
        <v>206</v>
      </c>
      <c r="E58" s="86" t="s">
        <v>206</v>
      </c>
      <c r="F58" s="86" t="s">
        <v>207</v>
      </c>
      <c r="G58" s="89" t="s">
        <v>112</v>
      </c>
      <c r="H58" s="90">
        <v>2625</v>
      </c>
      <c r="I58" s="90">
        <f>2625</f>
        <v>2625</v>
      </c>
      <c r="J58" s="91">
        <v>0</v>
      </c>
      <c r="K58" s="91">
        <f t="shared" si="0"/>
        <v>2625</v>
      </c>
      <c r="L58" s="92" t="s">
        <v>208</v>
      </c>
    </row>
    <row r="59" spans="1:12" s="83" customFormat="1" x14ac:dyDescent="0.25">
      <c r="A59" s="86" t="s">
        <v>210</v>
      </c>
      <c r="B59" s="87">
        <v>2108</v>
      </c>
      <c r="C59" s="88"/>
      <c r="D59" s="86" t="s">
        <v>206</v>
      </c>
      <c r="E59" s="86" t="s">
        <v>206</v>
      </c>
      <c r="F59" s="86" t="s">
        <v>207</v>
      </c>
      <c r="G59" s="89" t="s">
        <v>112</v>
      </c>
      <c r="H59" s="90">
        <v>2625</v>
      </c>
      <c r="I59" s="90">
        <v>2625</v>
      </c>
      <c r="J59" s="91">
        <v>0</v>
      </c>
      <c r="K59" s="91">
        <f t="shared" si="0"/>
        <v>2625</v>
      </c>
      <c r="L59" s="92" t="s">
        <v>208</v>
      </c>
    </row>
    <row r="60" spans="1:12" s="93" customFormat="1" x14ac:dyDescent="0.25">
      <c r="A60" s="86" t="s">
        <v>211</v>
      </c>
      <c r="B60" s="87">
        <v>2091</v>
      </c>
      <c r="C60" s="88"/>
      <c r="D60" s="86" t="s">
        <v>206</v>
      </c>
      <c r="E60" s="86" t="s">
        <v>206</v>
      </c>
      <c r="F60" s="86" t="s">
        <v>212</v>
      </c>
      <c r="G60" s="89" t="s">
        <v>112</v>
      </c>
      <c r="H60" s="91">
        <v>5500</v>
      </c>
      <c r="I60" s="91">
        <f>5500+1095</f>
        <v>6595</v>
      </c>
      <c r="J60" s="91">
        <v>0</v>
      </c>
      <c r="K60" s="91">
        <f t="shared" si="0"/>
        <v>6595</v>
      </c>
      <c r="L60" s="94" t="s">
        <v>213</v>
      </c>
    </row>
    <row r="61" spans="1:12" s="93" customFormat="1" x14ac:dyDescent="0.25">
      <c r="A61" s="86" t="s">
        <v>214</v>
      </c>
      <c r="B61" s="87">
        <v>2104</v>
      </c>
      <c r="C61" s="88"/>
      <c r="D61" s="86" t="s">
        <v>206</v>
      </c>
      <c r="E61" s="86" t="s">
        <v>206</v>
      </c>
      <c r="F61" s="86" t="s">
        <v>207</v>
      </c>
      <c r="G61" s="89" t="s">
        <v>112</v>
      </c>
      <c r="H61" s="90">
        <v>12500</v>
      </c>
      <c r="I61" s="90">
        <v>12500</v>
      </c>
      <c r="J61" s="91">
        <v>0</v>
      </c>
      <c r="K61" s="91">
        <f t="shared" si="0"/>
        <v>12500</v>
      </c>
      <c r="L61" s="92" t="s">
        <v>208</v>
      </c>
    </row>
    <row r="62" spans="1:12" s="93" customFormat="1" x14ac:dyDescent="0.25">
      <c r="A62" s="86" t="s">
        <v>216</v>
      </c>
      <c r="B62" s="87">
        <v>2109</v>
      </c>
      <c r="C62" s="88"/>
      <c r="D62" s="86" t="s">
        <v>206</v>
      </c>
      <c r="E62" s="86" t="s">
        <v>206</v>
      </c>
      <c r="F62" s="86" t="s">
        <v>207</v>
      </c>
      <c r="G62" s="89" t="s">
        <v>112</v>
      </c>
      <c r="H62" s="90">
        <v>2625</v>
      </c>
      <c r="I62" s="90">
        <v>2625</v>
      </c>
      <c r="J62" s="91">
        <v>0</v>
      </c>
      <c r="K62" s="91">
        <f t="shared" si="0"/>
        <v>2625</v>
      </c>
      <c r="L62" s="92" t="s">
        <v>208</v>
      </c>
    </row>
    <row r="63" spans="1:12" s="93" customFormat="1" x14ac:dyDescent="0.25">
      <c r="A63" s="86" t="s">
        <v>218</v>
      </c>
      <c r="B63" s="87">
        <v>2110</v>
      </c>
      <c r="C63" s="88"/>
      <c r="D63" s="86" t="s">
        <v>206</v>
      </c>
      <c r="E63" s="86" t="s">
        <v>206</v>
      </c>
      <c r="F63" s="86" t="s">
        <v>207</v>
      </c>
      <c r="G63" s="89" t="s">
        <v>112</v>
      </c>
      <c r="H63" s="90">
        <v>5500</v>
      </c>
      <c r="I63" s="90">
        <v>5500</v>
      </c>
      <c r="J63" s="91">
        <v>0</v>
      </c>
      <c r="K63" s="91">
        <f t="shared" si="0"/>
        <v>5500</v>
      </c>
      <c r="L63" s="92" t="s">
        <v>208</v>
      </c>
    </row>
    <row r="64" spans="1:12" s="100" customFormat="1" x14ac:dyDescent="0.25">
      <c r="A64" s="95"/>
      <c r="B64" s="96"/>
      <c r="C64" s="96" t="s">
        <v>219</v>
      </c>
      <c r="D64" s="95"/>
      <c r="E64" s="95"/>
      <c r="F64" s="95"/>
      <c r="G64" s="97"/>
      <c r="H64" s="98">
        <f>SUM(H2:H63)</f>
        <v>519210.38999999984</v>
      </c>
      <c r="I64" s="98">
        <f>SUM(I2:I63)</f>
        <v>718913.17999999982</v>
      </c>
      <c r="J64" s="98">
        <f>SUM(J2:J63)</f>
        <v>186417.20000000004</v>
      </c>
      <c r="K64" s="115">
        <f>SUM(K2:K63)</f>
        <v>532495.97999999975</v>
      </c>
      <c r="L64" s="99"/>
    </row>
    <row r="65" spans="1:12" x14ac:dyDescent="0.25">
      <c r="I65" s="105"/>
      <c r="J65" s="106"/>
      <c r="K65" s="116"/>
    </row>
    <row r="66" spans="1:12" x14ac:dyDescent="0.25">
      <c r="I66" s="105"/>
    </row>
    <row r="67" spans="1:12" s="104" customFormat="1" x14ac:dyDescent="0.25">
      <c r="A67" s="101"/>
      <c r="B67" s="102"/>
      <c r="C67" s="102"/>
      <c r="D67" s="101"/>
      <c r="E67" s="101"/>
      <c r="F67" s="101"/>
      <c r="G67" s="103"/>
      <c r="I67" s="105"/>
      <c r="K67" s="117"/>
      <c r="L67" s="107"/>
    </row>
    <row r="68" spans="1:12" x14ac:dyDescent="0.25">
      <c r="I68" s="105"/>
    </row>
  </sheetData>
  <autoFilter ref="A1:O68" xr:uid="{F4064140-040D-4F65-887A-D65371FCFCDC}"/>
  <pageMargins left="0.511811024" right="0.511811024" top="0.78740157499999996" bottom="0.78740157499999996" header="0.31496062000000002" footer="0.31496062000000002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7</vt:i4>
      </vt:variant>
    </vt:vector>
  </HeadingPairs>
  <TitlesOfParts>
    <vt:vector size="7" baseType="lpstr">
      <vt:lpstr>DF</vt:lpstr>
      <vt:lpstr>Siglas</vt:lpstr>
      <vt:lpstr>Janeiro 2025</vt:lpstr>
      <vt:lpstr>Fevereiro 2025</vt:lpstr>
      <vt:lpstr>Marco 2025</vt:lpstr>
      <vt:lpstr>Abril 2025 </vt:lpstr>
      <vt:lpstr>Maio 2025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Marcelo Barao</dc:creator>
  <cp:keywords/>
  <dc:description/>
  <cp:lastModifiedBy>deise pigatto</cp:lastModifiedBy>
  <cp:revision/>
  <dcterms:created xsi:type="dcterms:W3CDTF">2019-08-01T18:34:06Z</dcterms:created>
  <dcterms:modified xsi:type="dcterms:W3CDTF">2025-06-16T19:30:05Z</dcterms:modified>
  <cp:category/>
  <cp:contentStatus/>
</cp:coreProperties>
</file>