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187"/>
  </bookViews>
  <sheets>
    <sheet name="Geral" sheetId="1" r:id="rId1"/>
    <sheet name="ufpr" sheetId="2" r:id="rId2"/>
  </sheets>
  <definedNames>
    <definedName name="_xlnm._FilterDatabase" localSheetId="0" hidden="1">Geral!$A$5:$A$1284</definedName>
    <definedName name="Excel_BuiltIn__FilterDatabase" localSheetId="0">Geral!$A$5:$R$1283</definedName>
    <definedName name="Excel_BuiltIn__FilterDatabase_1" localSheetId="0">Geral!$A$5:$P$103</definedName>
    <definedName name="Excel_BuiltIn__FilterDatabase_1">#REF!</definedName>
    <definedName name="Excel_BuiltIn__FilterDatabase_1_1" localSheetId="0">Geral!$A$5:$P$103</definedName>
    <definedName name="Excel_BuiltIn__FilterDatabase_1_1">#REF!</definedName>
    <definedName name="Excel_BuiltIn__FilterDatabase_1_1_1" localSheetId="0">Geral!$A$5:$P$103</definedName>
    <definedName name="Excel_BuiltIn__FilterDatabase_1_1_1">#REF!</definedName>
    <definedName name="Excel_BuiltIn__FilterDatabase_1_1_1_1" localSheetId="0">Geral!$A$5:$P$103</definedName>
    <definedName name="Excel_BuiltIn__FilterDatabase_1_1_1_1">#REF!</definedName>
    <definedName name="Excel_BuiltIn__FilterDatabase_1_1_1_1_1">#REF!</definedName>
    <definedName name="Excel_BuiltIn__FilterDatabase_1_1_1_1_1_1">#REF!</definedName>
    <definedName name="Excel_BuiltIn__FilterDatabase_1_2" localSheetId="0">Geral!$A$5:$P$103</definedName>
    <definedName name="Excel_BuiltIn__FilterDatabase_1_2">#REF!</definedName>
    <definedName name="Excel_BuiltIn__FilterDatabase_1_3" localSheetId="0">Geral!$A$5:$P$103</definedName>
    <definedName name="Excel_BuiltIn__FilterDatabase_1_3">#REF!</definedName>
    <definedName name="Excel_BuiltIn__FilterDatabase_1_4" localSheetId="0">Geral!$A$5:$P$103</definedName>
    <definedName name="Excel_BuiltIn__FilterDatabase_1_4">#REF!</definedName>
    <definedName name="Excel_BuiltIn_Print_Titles_1">#REF!</definedName>
  </definedNames>
  <calcPr calcId="145621"/>
</workbook>
</file>

<file path=xl/calcChain.xml><?xml version="1.0" encoding="utf-8"?>
<calcChain xmlns="http://schemas.openxmlformats.org/spreadsheetml/2006/main">
  <c r="L7" i="1" l="1"/>
  <c r="L8" i="1"/>
  <c r="M8" i="1" s="1"/>
  <c r="L9" i="1"/>
  <c r="L10" i="1"/>
  <c r="M10" i="1" s="1"/>
  <c r="L11" i="1"/>
  <c r="M11" i="1" s="1"/>
  <c r="L12" i="1"/>
  <c r="M12" i="1" s="1"/>
  <c r="L13" i="1"/>
  <c r="M13" i="1" s="1"/>
  <c r="L14" i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1" i="1"/>
  <c r="M171" i="1" s="1"/>
  <c r="L173" i="1"/>
  <c r="M173" i="1" s="1"/>
  <c r="L175" i="1"/>
  <c r="M175" i="1" s="1"/>
  <c r="L180" i="1"/>
  <c r="M180" i="1" s="1"/>
  <c r="L183" i="1"/>
  <c r="M183" i="1" s="1"/>
  <c r="L186" i="1"/>
  <c r="L190" i="1"/>
  <c r="M190" i="1" s="1"/>
  <c r="L194" i="1"/>
  <c r="M194" i="1" s="1"/>
  <c r="L196" i="1"/>
  <c r="M196" i="1" s="1"/>
  <c r="L197" i="1"/>
  <c r="M197" i="1" s="1"/>
  <c r="L198" i="1"/>
  <c r="L199" i="1"/>
  <c r="M199" i="1" s="1"/>
  <c r="L202" i="1"/>
  <c r="M202" i="1" s="1"/>
  <c r="L203" i="1"/>
  <c r="M203" i="1" s="1"/>
  <c r="L210" i="1"/>
  <c r="M210" i="1" s="1"/>
  <c r="L211" i="1"/>
  <c r="M211" i="1" s="1"/>
  <c r="L213" i="1"/>
  <c r="M213" i="1" s="1"/>
  <c r="L214" i="1"/>
  <c r="L219" i="1"/>
  <c r="M219" i="1" s="1"/>
  <c r="L220" i="1"/>
  <c r="M220" i="1" s="1"/>
  <c r="L222" i="1"/>
  <c r="M222" i="1" s="1"/>
  <c r="L224" i="1"/>
  <c r="M224" i="1" s="1"/>
  <c r="L225" i="1"/>
  <c r="M225" i="1" s="1"/>
  <c r="L226" i="1"/>
  <c r="M226" i="1" s="1"/>
  <c r="L227" i="1"/>
  <c r="M227" i="1" s="1"/>
  <c r="L228" i="1"/>
  <c r="M228" i="1" s="1"/>
  <c r="L229" i="1"/>
  <c r="M229" i="1" s="1"/>
  <c r="L231" i="1"/>
  <c r="M231" i="1" s="1"/>
  <c r="L233" i="1"/>
  <c r="M233" i="1" s="1"/>
  <c r="L235" i="1"/>
  <c r="M235" i="1" s="1"/>
  <c r="L239" i="1"/>
  <c r="M239" i="1" s="1"/>
  <c r="L242" i="1"/>
  <c r="L247" i="1"/>
  <c r="M247" i="1" s="1"/>
  <c r="L248" i="1"/>
  <c r="M248" i="1" s="1"/>
  <c r="L249" i="1"/>
  <c r="M249" i="1" s="1"/>
  <c r="L252" i="1"/>
  <c r="M252" i="1" s="1"/>
  <c r="L257" i="1"/>
  <c r="M257" i="1" s="1"/>
  <c r="L260" i="1"/>
  <c r="M260" i="1" s="1"/>
  <c r="L264" i="1"/>
  <c r="M264" i="1"/>
  <c r="L270" i="1"/>
  <c r="L272" i="1"/>
  <c r="M272" i="1" s="1"/>
  <c r="L277" i="1"/>
  <c r="M277" i="1"/>
  <c r="L278" i="1"/>
  <c r="L280" i="1"/>
  <c r="L283" i="1"/>
  <c r="M283" i="1"/>
  <c r="L284" i="1"/>
  <c r="M284" i="1"/>
  <c r="L286" i="1"/>
  <c r="L289" i="1"/>
  <c r="M289" i="1" s="1"/>
  <c r="L292" i="1"/>
  <c r="M292" i="1" s="1"/>
  <c r="L295" i="1"/>
  <c r="M295" i="1" s="1"/>
  <c r="L298" i="1"/>
  <c r="M298" i="1" s="1"/>
  <c r="L300" i="1"/>
  <c r="L310" i="1"/>
  <c r="L313" i="1"/>
  <c r="M313" i="1" s="1"/>
  <c r="L314" i="1"/>
  <c r="L316" i="1"/>
  <c r="M316" i="1" s="1"/>
  <c r="L318" i="1"/>
  <c r="M318" i="1" s="1"/>
  <c r="L320" i="1"/>
  <c r="L321" i="1"/>
  <c r="M321" i="1" s="1"/>
  <c r="L322" i="1"/>
  <c r="L323" i="1"/>
  <c r="M323" i="1" s="1"/>
  <c r="L324" i="1"/>
  <c r="L328" i="1"/>
  <c r="M328" i="1" s="1"/>
  <c r="L329" i="1"/>
  <c r="M329" i="1" s="1"/>
  <c r="L331" i="1"/>
  <c r="M331" i="1"/>
  <c r="L332" i="1"/>
  <c r="L334" i="1"/>
  <c r="M334" i="1" s="1"/>
  <c r="L339" i="1"/>
  <c r="M339" i="1" s="1"/>
  <c r="L340" i="1"/>
  <c r="M340" i="1" s="1"/>
  <c r="L342" i="1"/>
  <c r="M342" i="1" s="1"/>
  <c r="L347" i="1"/>
  <c r="M347" i="1" s="1"/>
  <c r="L349" i="1"/>
  <c r="M349" i="1" s="1"/>
  <c r="L352" i="1"/>
  <c r="M352" i="1" s="1"/>
  <c r="L354" i="1"/>
  <c r="L355" i="1"/>
  <c r="M355" i="1" s="1"/>
  <c r="L356" i="1"/>
  <c r="L359" i="1"/>
  <c r="M359" i="1" s="1"/>
  <c r="L368" i="1"/>
  <c r="L369" i="1"/>
  <c r="M369" i="1" s="1"/>
  <c r="L370" i="1"/>
  <c r="L372" i="1"/>
  <c r="M372" i="1" s="1"/>
  <c r="L375" i="1"/>
  <c r="M375" i="1" s="1"/>
  <c r="L376" i="1"/>
  <c r="L377" i="1"/>
  <c r="M377" i="1" s="1"/>
  <c r="L382" i="1"/>
  <c r="M382" i="1" s="1"/>
  <c r="L384" i="1"/>
  <c r="L385" i="1"/>
  <c r="M385" i="1" s="1"/>
  <c r="L389" i="1"/>
  <c r="M389" i="1" s="1"/>
  <c r="L391" i="1"/>
  <c r="M391" i="1"/>
  <c r="L393" i="1"/>
  <c r="M393" i="1"/>
  <c r="L397" i="1"/>
  <c r="M397" i="1"/>
  <c r="L401" i="1"/>
  <c r="M401" i="1"/>
  <c r="L402" i="1"/>
  <c r="L404" i="1"/>
  <c r="M404" i="1" s="1"/>
  <c r="L408" i="1"/>
  <c r="L409" i="1"/>
  <c r="M409" i="1" s="1"/>
  <c r="L410" i="1"/>
  <c r="L411" i="1"/>
  <c r="M411" i="1" s="1"/>
  <c r="L413" i="1"/>
  <c r="M413" i="1" s="1"/>
  <c r="L414" i="1"/>
  <c r="M414" i="1" s="1"/>
  <c r="L418" i="1"/>
  <c r="M418" i="1" s="1"/>
  <c r="L419" i="1"/>
  <c r="M419" i="1" s="1"/>
  <c r="L426" i="1"/>
  <c r="M426" i="1" s="1"/>
  <c r="L430" i="1"/>
  <c r="M430" i="1" s="1"/>
  <c r="L434" i="1"/>
  <c r="L439" i="1"/>
  <c r="M439" i="1" s="1"/>
  <c r="L440" i="1"/>
  <c r="L441" i="1"/>
  <c r="M441" i="1" s="1"/>
  <c r="L444" i="1"/>
  <c r="M444" i="1" s="1"/>
  <c r="L445" i="1"/>
  <c r="M445" i="1" s="1"/>
  <c r="L446" i="1"/>
  <c r="M446" i="1" s="1"/>
  <c r="L447" i="1"/>
  <c r="M447" i="1" s="1"/>
  <c r="L448" i="1"/>
  <c r="M448" i="1" s="1"/>
  <c r="L449" i="1"/>
  <c r="M449" i="1" s="1"/>
  <c r="L450" i="1"/>
  <c r="M450" i="1" s="1"/>
  <c r="L451" i="1"/>
  <c r="M451" i="1" s="1"/>
  <c r="L452" i="1"/>
  <c r="M452" i="1" s="1"/>
  <c r="L453" i="1"/>
  <c r="M453" i="1" s="1"/>
  <c r="L454" i="1"/>
  <c r="M454" i="1" s="1"/>
  <c r="L455" i="1"/>
  <c r="M455" i="1" s="1"/>
  <c r="L456" i="1"/>
  <c r="M456" i="1" s="1"/>
  <c r="L457" i="1"/>
  <c r="M457" i="1" s="1"/>
  <c r="L458" i="1"/>
  <c r="M458" i="1" s="1"/>
  <c r="L459" i="1"/>
  <c r="M459" i="1" s="1"/>
  <c r="L460" i="1"/>
  <c r="M460" i="1" s="1"/>
  <c r="L461" i="1"/>
  <c r="M461" i="1" s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M467" i="1" s="1"/>
  <c r="L468" i="1"/>
  <c r="M468" i="1" s="1"/>
  <c r="L469" i="1"/>
  <c r="M469" i="1" s="1"/>
  <c r="L470" i="1"/>
  <c r="M470" i="1" s="1"/>
  <c r="L471" i="1"/>
  <c r="M471" i="1" s="1"/>
  <c r="L472" i="1"/>
  <c r="M472" i="1" s="1"/>
  <c r="L473" i="1"/>
  <c r="M473" i="1" s="1"/>
  <c r="L474" i="1"/>
  <c r="M474" i="1" s="1"/>
  <c r="L475" i="1"/>
  <c r="M475" i="1" s="1"/>
  <c r="L476" i="1"/>
  <c r="M476" i="1" s="1"/>
  <c r="L477" i="1"/>
  <c r="M477" i="1" s="1"/>
  <c r="L478" i="1"/>
  <c r="M478" i="1" s="1"/>
  <c r="L479" i="1"/>
  <c r="L480" i="1"/>
  <c r="M480" i="1"/>
  <c r="L481" i="1"/>
  <c r="M481" i="1"/>
  <c r="L482" i="1"/>
  <c r="M482" i="1"/>
  <c r="L483" i="1"/>
  <c r="M483" i="1"/>
  <c r="L484" i="1"/>
  <c r="M484" i="1"/>
  <c r="L485" i="1"/>
  <c r="M485" i="1"/>
  <c r="L486" i="1"/>
  <c r="M486" i="1"/>
  <c r="L487" i="1"/>
  <c r="M487" i="1"/>
  <c r="L488" i="1"/>
  <c r="M488" i="1"/>
  <c r="L489" i="1"/>
  <c r="M489" i="1"/>
  <c r="L490" i="1"/>
  <c r="M490" i="1"/>
  <c r="L491" i="1"/>
  <c r="M491" i="1"/>
  <c r="L492" i="1"/>
  <c r="M492" i="1"/>
  <c r="L493" i="1"/>
  <c r="M493" i="1"/>
  <c r="L494" i="1"/>
  <c r="M494" i="1"/>
  <c r="L495" i="1"/>
  <c r="M495" i="1"/>
  <c r="L496" i="1"/>
  <c r="M496" i="1"/>
  <c r="L497" i="1"/>
  <c r="M497" i="1"/>
  <c r="L498" i="1"/>
  <c r="M498" i="1"/>
  <c r="L499" i="1"/>
  <c r="M499" i="1"/>
  <c r="L500" i="1"/>
  <c r="M500" i="1"/>
  <c r="L501" i="1"/>
  <c r="M501" i="1"/>
  <c r="L502" i="1"/>
  <c r="M502" i="1"/>
  <c r="L503" i="1"/>
  <c r="M503" i="1"/>
  <c r="L504" i="1"/>
  <c r="M504" i="1" s="1"/>
  <c r="L505" i="1"/>
  <c r="M505" i="1" s="1"/>
  <c r="L506" i="1"/>
  <c r="M506" i="1"/>
  <c r="L507" i="1"/>
  <c r="M507" i="1"/>
  <c r="L508" i="1"/>
  <c r="M508" i="1"/>
  <c r="L509" i="1"/>
  <c r="M509" i="1" s="1"/>
  <c r="L510" i="1"/>
  <c r="M510" i="1" s="1"/>
  <c r="L511" i="1"/>
  <c r="M511" i="1" s="1"/>
  <c r="L512" i="1"/>
  <c r="M512" i="1" s="1"/>
  <c r="L513" i="1"/>
  <c r="M513" i="1" s="1"/>
  <c r="L514" i="1"/>
  <c r="M514" i="1" s="1"/>
  <c r="L515" i="1"/>
  <c r="M515" i="1" s="1"/>
  <c r="L516" i="1"/>
  <c r="M516" i="1" s="1"/>
  <c r="L517" i="1"/>
  <c r="M517" i="1" s="1"/>
  <c r="L518" i="1"/>
  <c r="M518" i="1" s="1"/>
  <c r="L519" i="1"/>
  <c r="M519" i="1" s="1"/>
  <c r="L520" i="1"/>
  <c r="M520" i="1" s="1"/>
  <c r="L521" i="1"/>
  <c r="M521" i="1" s="1"/>
  <c r="L522" i="1"/>
  <c r="M522" i="1" s="1"/>
  <c r="L523" i="1"/>
  <c r="M523" i="1" s="1"/>
  <c r="L524" i="1"/>
  <c r="M524" i="1" s="1"/>
  <c r="L525" i="1"/>
  <c r="M525" i="1" s="1"/>
  <c r="L526" i="1"/>
  <c r="M526" i="1" s="1"/>
  <c r="L527" i="1"/>
  <c r="M527" i="1" s="1"/>
  <c r="L528" i="1"/>
  <c r="M528" i="1" s="1"/>
  <c r="L529" i="1"/>
  <c r="M529" i="1" s="1"/>
  <c r="L530" i="1"/>
  <c r="M530" i="1" s="1"/>
  <c r="L531" i="1"/>
  <c r="M531" i="1" s="1"/>
  <c r="L532" i="1"/>
  <c r="M532" i="1" s="1"/>
  <c r="L533" i="1"/>
  <c r="M533" i="1" s="1"/>
  <c r="L534" i="1"/>
  <c r="M534" i="1" s="1"/>
  <c r="L535" i="1"/>
  <c r="M535" i="1" s="1"/>
  <c r="L536" i="1"/>
  <c r="M536" i="1" s="1"/>
  <c r="L537" i="1"/>
  <c r="M537" i="1" s="1"/>
  <c r="L538" i="1"/>
  <c r="M538" i="1" s="1"/>
  <c r="L539" i="1"/>
  <c r="M539" i="1" s="1"/>
  <c r="L540" i="1"/>
  <c r="M540" i="1" s="1"/>
  <c r="L541" i="1"/>
  <c r="M541" i="1" s="1"/>
  <c r="L542" i="1"/>
  <c r="M542" i="1" s="1"/>
  <c r="L543" i="1"/>
  <c r="M543" i="1" s="1"/>
  <c r="L544" i="1"/>
  <c r="M544" i="1" s="1"/>
  <c r="L545" i="1"/>
  <c r="M545" i="1" s="1"/>
  <c r="L546" i="1"/>
  <c r="M546" i="1" s="1"/>
  <c r="L547" i="1"/>
  <c r="M547" i="1" s="1"/>
  <c r="L548" i="1"/>
  <c r="M548" i="1" s="1"/>
  <c r="L549" i="1"/>
  <c r="M549" i="1" s="1"/>
  <c r="L550" i="1"/>
  <c r="M550" i="1" s="1"/>
  <c r="L551" i="1"/>
  <c r="M551" i="1" s="1"/>
  <c r="L552" i="1"/>
  <c r="M552" i="1" s="1"/>
  <c r="L553" i="1"/>
  <c r="M553" i="1" s="1"/>
  <c r="L554" i="1"/>
  <c r="M554" i="1" s="1"/>
  <c r="L555" i="1"/>
  <c r="M555" i="1" s="1"/>
  <c r="L556" i="1"/>
  <c r="M556" i="1" s="1"/>
  <c r="L557" i="1"/>
  <c r="M557" i="1" s="1"/>
  <c r="L560" i="1"/>
  <c r="L561" i="1"/>
  <c r="M561" i="1" s="1"/>
  <c r="L562" i="1"/>
  <c r="L563" i="1"/>
  <c r="M563" i="1"/>
  <c r="L564" i="1"/>
  <c r="L565" i="1"/>
  <c r="M565" i="1" s="1"/>
  <c r="L566" i="1"/>
  <c r="L567" i="1"/>
  <c r="M567" i="1" s="1"/>
  <c r="L568" i="1"/>
  <c r="L569" i="1"/>
  <c r="M569" i="1" s="1"/>
  <c r="L570" i="1"/>
  <c r="L571" i="1"/>
  <c r="M571" i="1" s="1"/>
  <c r="L572" i="1"/>
  <c r="L573" i="1"/>
  <c r="M573" i="1" s="1"/>
  <c r="L574" i="1"/>
  <c r="L575" i="1"/>
  <c r="M575" i="1" s="1"/>
  <c r="L576" i="1"/>
  <c r="L577" i="1"/>
  <c r="M577" i="1" s="1"/>
  <c r="L578" i="1"/>
  <c r="L579" i="1"/>
  <c r="M579" i="1"/>
  <c r="L580" i="1"/>
  <c r="L581" i="1"/>
  <c r="M581" i="1" s="1"/>
  <c r="L582" i="1"/>
  <c r="L583" i="1"/>
  <c r="M583" i="1" s="1"/>
  <c r="L584" i="1"/>
  <c r="L585" i="1"/>
  <c r="M585" i="1" s="1"/>
  <c r="L586" i="1"/>
  <c r="L587" i="1"/>
  <c r="M587" i="1" s="1"/>
  <c r="L588" i="1"/>
  <c r="L589" i="1"/>
  <c r="M589" i="1" s="1"/>
  <c r="L591" i="1"/>
  <c r="M591" i="1" s="1"/>
  <c r="L595" i="1"/>
  <c r="M595" i="1" s="1"/>
  <c r="L596" i="1"/>
  <c r="L597" i="1"/>
  <c r="M597" i="1" s="1"/>
  <c r="L598" i="1"/>
  <c r="L599" i="1"/>
  <c r="M599" i="1"/>
  <c r="L600" i="1"/>
  <c r="L601" i="1"/>
  <c r="M601" i="1" s="1"/>
  <c r="L602" i="1"/>
  <c r="L603" i="1"/>
  <c r="M603" i="1" s="1"/>
  <c r="L604" i="1"/>
  <c r="L605" i="1"/>
  <c r="M605" i="1" s="1"/>
  <c r="L606" i="1"/>
  <c r="L607" i="1"/>
  <c r="M607" i="1" s="1"/>
  <c r="L608" i="1"/>
  <c r="L609" i="1"/>
  <c r="M609" i="1" s="1"/>
  <c r="L610" i="1"/>
  <c r="L611" i="1"/>
  <c r="M611" i="1" s="1"/>
  <c r="L612" i="1"/>
  <c r="L613" i="1"/>
  <c r="M613" i="1" s="1"/>
  <c r="L614" i="1"/>
  <c r="L615" i="1"/>
  <c r="M615" i="1"/>
  <c r="L616" i="1"/>
  <c r="L617" i="1"/>
  <c r="M617" i="1" s="1"/>
  <c r="L618" i="1"/>
  <c r="L619" i="1"/>
  <c r="M619" i="1" s="1"/>
  <c r="L620" i="1"/>
  <c r="L621" i="1"/>
  <c r="M621" i="1" s="1"/>
  <c r="L622" i="1"/>
  <c r="L623" i="1"/>
  <c r="M623" i="1" s="1"/>
  <c r="L624" i="1"/>
  <c r="L625" i="1"/>
  <c r="M625" i="1" s="1"/>
  <c r="L626" i="1"/>
  <c r="L627" i="1"/>
  <c r="M627" i="1" s="1"/>
  <c r="L628" i="1"/>
  <c r="L629" i="1"/>
  <c r="M629" i="1" s="1"/>
  <c r="L630" i="1"/>
  <c r="L631" i="1"/>
  <c r="M631" i="1"/>
  <c r="L632" i="1"/>
  <c r="L633" i="1"/>
  <c r="M633" i="1" s="1"/>
  <c r="L634" i="1"/>
  <c r="L635" i="1"/>
  <c r="M635" i="1" s="1"/>
  <c r="L636" i="1"/>
  <c r="L637" i="1"/>
  <c r="M637" i="1" s="1"/>
  <c r="L638" i="1"/>
  <c r="L639" i="1"/>
  <c r="M639" i="1" s="1"/>
  <c r="L640" i="1"/>
  <c r="L641" i="1"/>
  <c r="M641" i="1" s="1"/>
  <c r="L642" i="1"/>
  <c r="L643" i="1"/>
  <c r="M643" i="1" s="1"/>
  <c r="L644" i="1"/>
  <c r="L645" i="1"/>
  <c r="M645" i="1" s="1"/>
  <c r="L646" i="1"/>
  <c r="L647" i="1"/>
  <c r="M647" i="1"/>
  <c r="L648" i="1"/>
  <c r="L649" i="1"/>
  <c r="M649" i="1" s="1"/>
  <c r="L650" i="1"/>
  <c r="L651" i="1"/>
  <c r="M651" i="1" s="1"/>
  <c r="L652" i="1"/>
  <c r="L653" i="1"/>
  <c r="M653" i="1" s="1"/>
  <c r="L654" i="1"/>
  <c r="L655" i="1"/>
  <c r="M655" i="1" s="1"/>
  <c r="L656" i="1"/>
  <c r="L657" i="1"/>
  <c r="M657" i="1" s="1"/>
  <c r="L658" i="1"/>
  <c r="L659" i="1"/>
  <c r="M659" i="1" s="1"/>
  <c r="L660" i="1"/>
  <c r="L661" i="1"/>
  <c r="M661" i="1" s="1"/>
  <c r="L662" i="1"/>
  <c r="L663" i="1"/>
  <c r="M663" i="1"/>
  <c r="L664" i="1"/>
  <c r="L665" i="1"/>
  <c r="M665" i="1" s="1"/>
  <c r="L666" i="1"/>
  <c r="L667" i="1"/>
  <c r="M667" i="1" s="1"/>
  <c r="L668" i="1"/>
  <c r="L669" i="1"/>
  <c r="M669" i="1" s="1"/>
  <c r="L670" i="1"/>
  <c r="L671" i="1"/>
  <c r="M671" i="1" s="1"/>
  <c r="L672" i="1"/>
  <c r="L673" i="1"/>
  <c r="M673" i="1" s="1"/>
  <c r="L674" i="1"/>
  <c r="L675" i="1"/>
  <c r="M675" i="1" s="1"/>
  <c r="L676" i="1"/>
  <c r="L677" i="1"/>
  <c r="M677" i="1" s="1"/>
  <c r="L678" i="1"/>
  <c r="L679" i="1"/>
  <c r="M679" i="1"/>
  <c r="L680" i="1"/>
  <c r="L681" i="1"/>
  <c r="M681" i="1" s="1"/>
  <c r="L682" i="1"/>
  <c r="L683" i="1"/>
  <c r="M683" i="1" s="1"/>
  <c r="L684" i="1"/>
  <c r="L685" i="1"/>
  <c r="M685" i="1" s="1"/>
  <c r="L686" i="1"/>
  <c r="L687" i="1"/>
  <c r="M687" i="1" s="1"/>
  <c r="L688" i="1"/>
  <c r="L689" i="1"/>
  <c r="M689" i="1" s="1"/>
  <c r="L690" i="1"/>
  <c r="L691" i="1"/>
  <c r="M691" i="1" s="1"/>
  <c r="L692" i="1"/>
  <c r="L693" i="1"/>
  <c r="M693" i="1" s="1"/>
  <c r="L694" i="1"/>
  <c r="L695" i="1"/>
  <c r="M695" i="1"/>
  <c r="L696" i="1"/>
  <c r="L697" i="1"/>
  <c r="M697" i="1" s="1"/>
  <c r="L698" i="1"/>
  <c r="L699" i="1"/>
  <c r="M699" i="1" s="1"/>
  <c r="L700" i="1"/>
  <c r="L701" i="1"/>
  <c r="M701" i="1" s="1"/>
  <c r="L702" i="1"/>
  <c r="L703" i="1"/>
  <c r="M703" i="1" s="1"/>
  <c r="L704" i="1"/>
  <c r="L705" i="1"/>
  <c r="M705" i="1" s="1"/>
  <c r="L706" i="1"/>
  <c r="L707" i="1"/>
  <c r="M707" i="1" s="1"/>
  <c r="L708" i="1"/>
  <c r="L709" i="1"/>
  <c r="M709" i="1" s="1"/>
  <c r="L710" i="1"/>
  <c r="L711" i="1"/>
  <c r="M711" i="1"/>
  <c r="L712" i="1"/>
  <c r="L713" i="1"/>
  <c r="M713" i="1" s="1"/>
  <c r="L714" i="1"/>
  <c r="L715" i="1"/>
  <c r="M715" i="1" s="1"/>
  <c r="L716" i="1"/>
  <c r="L717" i="1"/>
  <c r="M717" i="1" s="1"/>
  <c r="L718" i="1"/>
  <c r="L719" i="1"/>
  <c r="M719" i="1" s="1"/>
  <c r="L720" i="1"/>
  <c r="L721" i="1"/>
  <c r="M721" i="1" s="1"/>
  <c r="L722" i="1"/>
  <c r="L723" i="1"/>
  <c r="M723" i="1" s="1"/>
  <c r="L724" i="1"/>
  <c r="L725" i="1"/>
  <c r="M725" i="1" s="1"/>
  <c r="L726" i="1"/>
  <c r="L727" i="1"/>
  <c r="M727" i="1"/>
  <c r="L728" i="1"/>
  <c r="L729" i="1"/>
  <c r="L730" i="1"/>
  <c r="M730" i="1"/>
  <c r="L731" i="1"/>
  <c r="M731" i="1"/>
  <c r="L732" i="1"/>
  <c r="M732" i="1"/>
  <c r="L733" i="1"/>
  <c r="M733" i="1"/>
  <c r="L734" i="1"/>
  <c r="M734" i="1"/>
  <c r="L735" i="1"/>
  <c r="M735" i="1"/>
  <c r="L736" i="1"/>
  <c r="M736" i="1"/>
  <c r="L737" i="1"/>
  <c r="M737" i="1"/>
  <c r="L738" i="1"/>
  <c r="M738" i="1"/>
  <c r="L739" i="1"/>
  <c r="M739" i="1"/>
  <c r="L740" i="1"/>
  <c r="M740" i="1"/>
  <c r="L741" i="1"/>
  <c r="M741" i="1"/>
  <c r="L742" i="1"/>
  <c r="M742" i="1"/>
  <c r="L743" i="1"/>
  <c r="M743" i="1"/>
  <c r="L744" i="1"/>
  <c r="M744" i="1"/>
  <c r="L745" i="1"/>
  <c r="M745" i="1"/>
  <c r="L746" i="1"/>
  <c r="M746" i="1"/>
  <c r="L747" i="1"/>
  <c r="M747" i="1"/>
  <c r="L748" i="1"/>
  <c r="M748" i="1"/>
  <c r="L749" i="1"/>
  <c r="M749" i="1"/>
  <c r="L750" i="1"/>
  <c r="M750" i="1"/>
  <c r="L751" i="1"/>
  <c r="M751" i="1"/>
  <c r="L752" i="1"/>
  <c r="M752" i="1"/>
  <c r="L753" i="1"/>
  <c r="M753" i="1"/>
  <c r="L754" i="1"/>
  <c r="M754" i="1"/>
  <c r="L755" i="1"/>
  <c r="M755" i="1"/>
  <c r="L756" i="1"/>
  <c r="M756" i="1"/>
  <c r="L757" i="1"/>
  <c r="M757" i="1"/>
  <c r="L758" i="1"/>
  <c r="M758" i="1"/>
  <c r="L759" i="1"/>
  <c r="M759" i="1"/>
  <c r="L760" i="1"/>
  <c r="M760" i="1"/>
  <c r="L761" i="1"/>
  <c r="M761" i="1"/>
  <c r="L762" i="1"/>
  <c r="M762" i="1"/>
  <c r="L763" i="1"/>
  <c r="M763" i="1"/>
  <c r="L764" i="1"/>
  <c r="M764" i="1"/>
  <c r="L765" i="1"/>
  <c r="M765" i="1"/>
  <c r="L766" i="1"/>
  <c r="M766" i="1"/>
  <c r="L767" i="1"/>
  <c r="M767" i="1"/>
  <c r="L768" i="1"/>
  <c r="M768" i="1"/>
  <c r="L769" i="1"/>
  <c r="M769" i="1"/>
  <c r="L770" i="1"/>
  <c r="M770" i="1"/>
  <c r="L771" i="1"/>
  <c r="M771" i="1"/>
  <c r="L772" i="1"/>
  <c r="M772" i="1"/>
  <c r="L773" i="1"/>
  <c r="M773" i="1"/>
  <c r="L774" i="1"/>
  <c r="M774" i="1"/>
  <c r="L775" i="1"/>
  <c r="M775" i="1"/>
  <c r="L776" i="1"/>
  <c r="M776" i="1"/>
  <c r="L777" i="1"/>
  <c r="M777" i="1"/>
  <c r="L778" i="1"/>
  <c r="M778" i="1"/>
  <c r="L779" i="1"/>
  <c r="M779" i="1"/>
  <c r="L780" i="1"/>
  <c r="M780" i="1"/>
  <c r="L781" i="1"/>
  <c r="M781" i="1"/>
  <c r="L782" i="1"/>
  <c r="M782" i="1"/>
  <c r="L783" i="1"/>
  <c r="M783" i="1"/>
  <c r="L784" i="1"/>
  <c r="M784" i="1"/>
  <c r="L785" i="1"/>
  <c r="M785" i="1"/>
  <c r="L786" i="1"/>
  <c r="M786" i="1"/>
  <c r="L787" i="1"/>
  <c r="M787" i="1"/>
  <c r="L788" i="1"/>
  <c r="M788" i="1"/>
  <c r="L789" i="1"/>
  <c r="M789" i="1"/>
  <c r="L790" i="1"/>
  <c r="M790" i="1"/>
  <c r="L791" i="1"/>
  <c r="M791" i="1"/>
  <c r="L792" i="1"/>
  <c r="M792" i="1"/>
  <c r="L793" i="1"/>
  <c r="M793" i="1"/>
  <c r="L794" i="1"/>
  <c r="M794" i="1"/>
  <c r="L795" i="1"/>
  <c r="L796" i="1"/>
  <c r="M796" i="1" s="1"/>
  <c r="L797" i="1"/>
  <c r="M797" i="1" s="1"/>
  <c r="L798" i="1"/>
  <c r="M798" i="1" s="1"/>
  <c r="L799" i="1"/>
  <c r="M799" i="1" s="1"/>
  <c r="L800" i="1"/>
  <c r="M800" i="1" s="1"/>
  <c r="L801" i="1"/>
  <c r="M801" i="1" s="1"/>
  <c r="L802" i="1"/>
  <c r="M802" i="1" s="1"/>
  <c r="L803" i="1"/>
  <c r="M803" i="1" s="1"/>
  <c r="L804" i="1"/>
  <c r="M804" i="1" s="1"/>
  <c r="L805" i="1"/>
  <c r="M805" i="1" s="1"/>
  <c r="L806" i="1"/>
  <c r="M806" i="1" s="1"/>
  <c r="L807" i="1"/>
  <c r="M807" i="1" s="1"/>
  <c r="L808" i="1"/>
  <c r="M808" i="1" s="1"/>
  <c r="L809" i="1"/>
  <c r="M809" i="1" s="1"/>
  <c r="L810" i="1"/>
  <c r="M810" i="1" s="1"/>
  <c r="L811" i="1"/>
  <c r="M811" i="1" s="1"/>
  <c r="L812" i="1"/>
  <c r="M812" i="1" s="1"/>
  <c r="L813" i="1"/>
  <c r="M813" i="1" s="1"/>
  <c r="L814" i="1"/>
  <c r="M814" i="1" s="1"/>
  <c r="L815" i="1"/>
  <c r="M815" i="1" s="1"/>
  <c r="L816" i="1"/>
  <c r="M816" i="1" s="1"/>
  <c r="L817" i="1"/>
  <c r="M817" i="1" s="1"/>
  <c r="L818" i="1"/>
  <c r="M818" i="1" s="1"/>
  <c r="L819" i="1"/>
  <c r="M819" i="1" s="1"/>
  <c r="L820" i="1"/>
  <c r="M820" i="1" s="1"/>
  <c r="L821" i="1"/>
  <c r="M821" i="1" s="1"/>
  <c r="L822" i="1"/>
  <c r="M822" i="1" s="1"/>
  <c r="L823" i="1"/>
  <c r="M823" i="1" s="1"/>
  <c r="L824" i="1"/>
  <c r="M824" i="1" s="1"/>
  <c r="L825" i="1"/>
  <c r="M825" i="1" s="1"/>
  <c r="L826" i="1"/>
  <c r="M826" i="1" s="1"/>
  <c r="L827" i="1"/>
  <c r="M827" i="1" s="1"/>
  <c r="L828" i="1"/>
  <c r="M828" i="1" s="1"/>
  <c r="L829" i="1"/>
  <c r="M829" i="1" s="1"/>
  <c r="L830" i="1"/>
  <c r="M830" i="1" s="1"/>
  <c r="L831" i="1"/>
  <c r="M831" i="1" s="1"/>
  <c r="L832" i="1"/>
  <c r="M832" i="1" s="1"/>
  <c r="L833" i="1"/>
  <c r="M833" i="1" s="1"/>
  <c r="L834" i="1"/>
  <c r="M834" i="1" s="1"/>
  <c r="L835" i="1"/>
  <c r="M835" i="1" s="1"/>
  <c r="L836" i="1"/>
  <c r="M836" i="1" s="1"/>
  <c r="L837" i="1"/>
  <c r="M837" i="1" s="1"/>
  <c r="L838" i="1"/>
  <c r="M838" i="1" s="1"/>
  <c r="L839" i="1"/>
  <c r="M839" i="1" s="1"/>
  <c r="L840" i="1"/>
  <c r="M840" i="1" s="1"/>
  <c r="L841" i="1"/>
  <c r="M841" i="1" s="1"/>
  <c r="L842" i="1"/>
  <c r="M842" i="1" s="1"/>
  <c r="L843" i="1"/>
  <c r="M843" i="1" s="1"/>
  <c r="L844" i="1"/>
  <c r="M844" i="1" s="1"/>
  <c r="L845" i="1"/>
  <c r="M845" i="1" s="1"/>
  <c r="L846" i="1"/>
  <c r="M846" i="1" s="1"/>
  <c r="L847" i="1"/>
  <c r="M847" i="1" s="1"/>
  <c r="L848" i="1"/>
  <c r="M848" i="1" s="1"/>
  <c r="L849" i="1"/>
  <c r="M849" i="1" s="1"/>
  <c r="L850" i="1"/>
  <c r="M850" i="1" s="1"/>
  <c r="L851" i="1"/>
  <c r="M851" i="1" s="1"/>
  <c r="L852" i="1"/>
  <c r="M852" i="1" s="1"/>
  <c r="L853" i="1"/>
  <c r="M853" i="1" s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M859" i="1" s="1"/>
  <c r="L860" i="1"/>
  <c r="M860" i="1" s="1"/>
  <c r="L861" i="1"/>
  <c r="M861" i="1" s="1"/>
  <c r="L862" i="1"/>
  <c r="M862" i="1" s="1"/>
  <c r="L863" i="1"/>
  <c r="M863" i="1" s="1"/>
  <c r="L864" i="1"/>
  <c r="M864" i="1" s="1"/>
  <c r="L865" i="1"/>
  <c r="M865" i="1" s="1"/>
  <c r="L866" i="1"/>
  <c r="M866" i="1" s="1"/>
  <c r="L867" i="1"/>
  <c r="M867" i="1" s="1"/>
  <c r="L868" i="1"/>
  <c r="M868" i="1" s="1"/>
  <c r="L869" i="1"/>
  <c r="M869" i="1" s="1"/>
  <c r="L870" i="1"/>
  <c r="M870" i="1" s="1"/>
  <c r="L871" i="1"/>
  <c r="M871" i="1" s="1"/>
  <c r="L872" i="1"/>
  <c r="M872" i="1" s="1"/>
  <c r="L873" i="1"/>
  <c r="M873" i="1" s="1"/>
  <c r="L874" i="1"/>
  <c r="M874" i="1" s="1"/>
  <c r="L875" i="1"/>
  <c r="M875" i="1" s="1"/>
  <c r="L876" i="1"/>
  <c r="M876" i="1" s="1"/>
  <c r="L877" i="1"/>
  <c r="L878" i="1"/>
  <c r="M878" i="1" s="1"/>
  <c r="L879" i="1"/>
  <c r="M879" i="1" s="1"/>
  <c r="L880" i="1"/>
  <c r="M880" i="1" s="1"/>
  <c r="L881" i="1"/>
  <c r="M881" i="1" s="1"/>
  <c r="L882" i="1"/>
  <c r="M882" i="1" s="1"/>
  <c r="L883" i="1"/>
  <c r="M883" i="1" s="1"/>
  <c r="L884" i="1"/>
  <c r="M884" i="1" s="1"/>
  <c r="L885" i="1"/>
  <c r="M885" i="1" s="1"/>
  <c r="L886" i="1"/>
  <c r="M886" i="1" s="1"/>
  <c r="L887" i="1"/>
  <c r="M887" i="1" s="1"/>
  <c r="L888" i="1"/>
  <c r="M888" i="1" s="1"/>
  <c r="L889" i="1"/>
  <c r="M889" i="1" s="1"/>
  <c r="L890" i="1"/>
  <c r="M890" i="1" s="1"/>
  <c r="L891" i="1"/>
  <c r="M891" i="1" s="1"/>
  <c r="L892" i="1"/>
  <c r="M892" i="1" s="1"/>
  <c r="L893" i="1"/>
  <c r="M893" i="1" s="1"/>
  <c r="L894" i="1"/>
  <c r="M894" i="1" s="1"/>
  <c r="L895" i="1"/>
  <c r="M895" i="1" s="1"/>
  <c r="L896" i="1"/>
  <c r="M896" i="1" s="1"/>
  <c r="L897" i="1"/>
  <c r="M897" i="1" s="1"/>
  <c r="L898" i="1"/>
  <c r="M898" i="1" s="1"/>
  <c r="L899" i="1"/>
  <c r="M899" i="1" s="1"/>
  <c r="L900" i="1"/>
  <c r="M900" i="1" s="1"/>
  <c r="L901" i="1"/>
  <c r="M901" i="1" s="1"/>
  <c r="L902" i="1"/>
  <c r="M902" i="1" s="1"/>
  <c r="L903" i="1"/>
  <c r="M903" i="1" s="1"/>
  <c r="L904" i="1"/>
  <c r="M904" i="1" s="1"/>
  <c r="L905" i="1"/>
  <c r="M905" i="1" s="1"/>
  <c r="L906" i="1"/>
  <c r="M906" i="1" s="1"/>
  <c r="L907" i="1"/>
  <c r="M907" i="1" s="1"/>
  <c r="L908" i="1"/>
  <c r="M908" i="1" s="1"/>
  <c r="L909" i="1"/>
  <c r="M909" i="1" s="1"/>
  <c r="L910" i="1"/>
  <c r="M910" i="1" s="1"/>
  <c r="L911" i="1"/>
  <c r="M911" i="1" s="1"/>
  <c r="L912" i="1"/>
  <c r="M912" i="1" s="1"/>
  <c r="L913" i="1"/>
  <c r="M913" i="1" s="1"/>
  <c r="L914" i="1"/>
  <c r="M914" i="1" s="1"/>
  <c r="L915" i="1"/>
  <c r="M915" i="1" s="1"/>
  <c r="L916" i="1"/>
  <c r="M916" i="1" s="1"/>
  <c r="L917" i="1"/>
  <c r="M917" i="1" s="1"/>
  <c r="L918" i="1"/>
  <c r="M918" i="1" s="1"/>
  <c r="L919" i="1"/>
  <c r="M919" i="1" s="1"/>
  <c r="L920" i="1"/>
  <c r="M920" i="1" s="1"/>
  <c r="L921" i="1"/>
  <c r="M921" i="1" s="1"/>
  <c r="L922" i="1"/>
  <c r="M922" i="1" s="1"/>
  <c r="L923" i="1"/>
  <c r="M923" i="1" s="1"/>
  <c r="L924" i="1"/>
  <c r="M924" i="1" s="1"/>
  <c r="L925" i="1"/>
  <c r="M925" i="1" s="1"/>
  <c r="L926" i="1"/>
  <c r="M926" i="1" s="1"/>
  <c r="L927" i="1"/>
  <c r="M927" i="1" s="1"/>
  <c r="L928" i="1"/>
  <c r="M928" i="1" s="1"/>
  <c r="L929" i="1"/>
  <c r="M929" i="1" s="1"/>
  <c r="L930" i="1"/>
  <c r="M930" i="1" s="1"/>
  <c r="L931" i="1"/>
  <c r="M931" i="1" s="1"/>
  <c r="L932" i="1"/>
  <c r="M932" i="1" s="1"/>
  <c r="L933" i="1"/>
  <c r="M933" i="1" s="1"/>
  <c r="L934" i="1"/>
  <c r="M934" i="1" s="1"/>
  <c r="L935" i="1"/>
  <c r="M935" i="1" s="1"/>
  <c r="L936" i="1"/>
  <c r="M936" i="1" s="1"/>
  <c r="L937" i="1"/>
  <c r="M937" i="1" s="1"/>
  <c r="L938" i="1"/>
  <c r="M938" i="1" s="1"/>
  <c r="L939" i="1"/>
  <c r="M939" i="1" s="1"/>
  <c r="L940" i="1"/>
  <c r="M940" i="1" s="1"/>
  <c r="L941" i="1"/>
  <c r="L942" i="1"/>
  <c r="M942" i="1" s="1"/>
  <c r="L943" i="1"/>
  <c r="M943" i="1" s="1"/>
  <c r="L944" i="1"/>
  <c r="M944" i="1" s="1"/>
  <c r="L945" i="1"/>
  <c r="M945" i="1" s="1"/>
  <c r="L946" i="1"/>
  <c r="M946" i="1" s="1"/>
  <c r="L947" i="1"/>
  <c r="M947" i="1" s="1"/>
  <c r="L948" i="1"/>
  <c r="M948" i="1" s="1"/>
  <c r="L949" i="1"/>
  <c r="M949" i="1" s="1"/>
  <c r="L950" i="1"/>
  <c r="M950" i="1" s="1"/>
  <c r="L951" i="1"/>
  <c r="M951" i="1" s="1"/>
  <c r="L952" i="1"/>
  <c r="M952" i="1" s="1"/>
  <c r="L953" i="1"/>
  <c r="M953" i="1" s="1"/>
  <c r="L954" i="1"/>
  <c r="M954" i="1" s="1"/>
  <c r="L955" i="1"/>
  <c r="M955" i="1" s="1"/>
  <c r="L956" i="1"/>
  <c r="M956" i="1" s="1"/>
  <c r="L957" i="1"/>
  <c r="M957" i="1" s="1"/>
  <c r="L958" i="1"/>
  <c r="M958" i="1" s="1"/>
  <c r="L959" i="1"/>
  <c r="M959" i="1" s="1"/>
  <c r="L960" i="1"/>
  <c r="M960" i="1" s="1"/>
  <c r="L961" i="1"/>
  <c r="M961" i="1" s="1"/>
  <c r="L962" i="1"/>
  <c r="M962" i="1" s="1"/>
  <c r="L963" i="1"/>
  <c r="M963" i="1" s="1"/>
  <c r="L964" i="1"/>
  <c r="M964" i="1" s="1"/>
  <c r="L965" i="1"/>
  <c r="M965" i="1" s="1"/>
  <c r="L966" i="1"/>
  <c r="M966" i="1" s="1"/>
  <c r="L967" i="1"/>
  <c r="M967" i="1" s="1"/>
  <c r="L968" i="1"/>
  <c r="M968" i="1" s="1"/>
  <c r="L969" i="1"/>
  <c r="M969" i="1" s="1"/>
  <c r="L970" i="1"/>
  <c r="M970" i="1" s="1"/>
  <c r="L971" i="1"/>
  <c r="M971" i="1" s="1"/>
  <c r="L972" i="1"/>
  <c r="M972" i="1" s="1"/>
  <c r="L973" i="1"/>
  <c r="M973" i="1" s="1"/>
  <c r="L974" i="1"/>
  <c r="M974" i="1" s="1"/>
  <c r="L975" i="1"/>
  <c r="M975" i="1" s="1"/>
  <c r="L976" i="1"/>
  <c r="M976" i="1" s="1"/>
  <c r="L977" i="1"/>
  <c r="M977" i="1" s="1"/>
  <c r="L978" i="1"/>
  <c r="M978" i="1" s="1"/>
  <c r="L979" i="1"/>
  <c r="M979" i="1" s="1"/>
  <c r="L980" i="1"/>
  <c r="M980" i="1" s="1"/>
  <c r="L981" i="1"/>
  <c r="M981" i="1" s="1"/>
  <c r="L982" i="1"/>
  <c r="M982" i="1" s="1"/>
  <c r="L983" i="1"/>
  <c r="M983" i="1" s="1"/>
  <c r="L984" i="1"/>
  <c r="M984" i="1" s="1"/>
  <c r="L985" i="1"/>
  <c r="M985" i="1" s="1"/>
  <c r="L986" i="1"/>
  <c r="M986" i="1" s="1"/>
  <c r="L987" i="1"/>
  <c r="M987" i="1" s="1"/>
  <c r="L988" i="1"/>
  <c r="M988" i="1" s="1"/>
  <c r="L989" i="1"/>
  <c r="M989" i="1" s="1"/>
  <c r="L990" i="1"/>
  <c r="M990" i="1" s="1"/>
  <c r="L991" i="1"/>
  <c r="M991" i="1" s="1"/>
  <c r="L992" i="1"/>
  <c r="M992" i="1" s="1"/>
  <c r="L993" i="1"/>
  <c r="M993" i="1" s="1"/>
  <c r="L994" i="1"/>
  <c r="M994" i="1" s="1"/>
  <c r="L995" i="1"/>
  <c r="M995" i="1" s="1"/>
  <c r="L996" i="1"/>
  <c r="M996" i="1" s="1"/>
  <c r="L997" i="1"/>
  <c r="M997" i="1" s="1"/>
  <c r="L998" i="1"/>
  <c r="M998" i="1" s="1"/>
  <c r="L999" i="1"/>
  <c r="M999" i="1" s="1"/>
  <c r="L1000" i="1"/>
  <c r="M1000" i="1" s="1"/>
  <c r="L1001" i="1"/>
  <c r="M1001" i="1" s="1"/>
  <c r="L1002" i="1"/>
  <c r="M1002" i="1" s="1"/>
  <c r="L1003" i="1"/>
  <c r="M1003" i="1" s="1"/>
  <c r="L1004" i="1"/>
  <c r="M1004" i="1" s="1"/>
  <c r="L1005" i="1"/>
  <c r="L1006" i="1"/>
  <c r="M1006" i="1" s="1"/>
  <c r="L1007" i="1"/>
  <c r="M1007" i="1" s="1"/>
  <c r="L1008" i="1"/>
  <c r="M1008" i="1" s="1"/>
  <c r="L1009" i="1"/>
  <c r="M1009" i="1" s="1"/>
  <c r="L1010" i="1"/>
  <c r="M1010" i="1" s="1"/>
  <c r="L1011" i="1"/>
  <c r="M1011" i="1" s="1"/>
  <c r="L1012" i="1"/>
  <c r="M1012" i="1" s="1"/>
  <c r="L1013" i="1"/>
  <c r="M1013" i="1" s="1"/>
  <c r="L1014" i="1"/>
  <c r="M1014" i="1" s="1"/>
  <c r="L1015" i="1"/>
  <c r="M1015" i="1" s="1"/>
  <c r="L1016" i="1"/>
  <c r="M1016" i="1" s="1"/>
  <c r="L1017" i="1"/>
  <c r="M1017" i="1" s="1"/>
  <c r="L1018" i="1"/>
  <c r="M1018" i="1" s="1"/>
  <c r="L1019" i="1"/>
  <c r="M1019" i="1" s="1"/>
  <c r="L1020" i="1"/>
  <c r="M1020" i="1" s="1"/>
  <c r="L1022" i="1"/>
  <c r="M1022" i="1" s="1"/>
  <c r="L1023" i="1"/>
  <c r="L1024" i="1"/>
  <c r="M1024" i="1" s="1"/>
  <c r="L1025" i="1"/>
  <c r="L1026" i="1"/>
  <c r="M1026" i="1" s="1"/>
  <c r="L1027" i="1"/>
  <c r="L1028" i="1"/>
  <c r="M1028" i="1" s="1"/>
  <c r="L1029" i="1"/>
  <c r="L1030" i="1"/>
  <c r="M1030" i="1"/>
  <c r="L1031" i="1"/>
  <c r="L1032" i="1"/>
  <c r="M1032" i="1" s="1"/>
  <c r="L1033" i="1"/>
  <c r="L1034" i="1"/>
  <c r="M1034" i="1" s="1"/>
  <c r="L1035" i="1"/>
  <c r="L1036" i="1"/>
  <c r="M1036" i="1" s="1"/>
  <c r="L1037" i="1"/>
  <c r="L1038" i="1"/>
  <c r="M1038" i="1" s="1"/>
  <c r="L1039" i="1"/>
  <c r="L1040" i="1"/>
  <c r="M1040" i="1" s="1"/>
  <c r="L1041" i="1"/>
  <c r="L1042" i="1"/>
  <c r="M1042" i="1" s="1"/>
  <c r="L1043" i="1"/>
  <c r="L1044" i="1"/>
  <c r="M1044" i="1" s="1"/>
  <c r="L1045" i="1"/>
  <c r="L1046" i="1"/>
  <c r="M1046" i="1"/>
  <c r="L1047" i="1"/>
  <c r="L1048" i="1"/>
  <c r="M1048" i="1" s="1"/>
  <c r="L1049" i="1"/>
  <c r="L1050" i="1"/>
  <c r="M1050" i="1" s="1"/>
  <c r="L1051" i="1"/>
  <c r="L1052" i="1"/>
  <c r="M1052" i="1" s="1"/>
  <c r="L1053" i="1"/>
  <c r="L1054" i="1"/>
  <c r="M1054" i="1" s="1"/>
  <c r="L1055" i="1"/>
  <c r="L1056" i="1"/>
  <c r="M1056" i="1" s="1"/>
  <c r="L1057" i="1"/>
  <c r="L1058" i="1"/>
  <c r="M1058" i="1" s="1"/>
  <c r="L1059" i="1"/>
  <c r="L1060" i="1"/>
  <c r="M1060" i="1" s="1"/>
  <c r="L1061" i="1"/>
  <c r="L1062" i="1"/>
  <c r="M1062" i="1"/>
  <c r="L1063" i="1"/>
  <c r="L1064" i="1"/>
  <c r="M1064" i="1" s="1"/>
  <c r="L1065" i="1"/>
  <c r="L1066" i="1"/>
  <c r="M1066" i="1" s="1"/>
  <c r="L1067" i="1"/>
  <c r="L1068" i="1"/>
  <c r="M1068" i="1" s="1"/>
  <c r="L1069" i="1"/>
  <c r="L1070" i="1"/>
  <c r="M1070" i="1" s="1"/>
  <c r="L1071" i="1"/>
  <c r="L1072" i="1"/>
  <c r="M1072" i="1" s="1"/>
  <c r="L1073" i="1"/>
  <c r="L1074" i="1"/>
  <c r="M1074" i="1" s="1"/>
  <c r="L1075" i="1"/>
  <c r="L1076" i="1"/>
  <c r="M1076" i="1" s="1"/>
  <c r="L1077" i="1"/>
  <c r="L1078" i="1"/>
  <c r="M1078" i="1"/>
  <c r="L1079" i="1"/>
  <c r="L1080" i="1"/>
  <c r="L1081" i="1"/>
  <c r="M1081" i="1"/>
  <c r="L1082" i="1"/>
  <c r="M1082" i="1"/>
  <c r="L1083" i="1"/>
  <c r="M1083" i="1"/>
  <c r="L1084" i="1"/>
  <c r="M1084" i="1"/>
  <c r="L1085" i="1"/>
  <c r="M1085" i="1"/>
  <c r="L1086" i="1"/>
  <c r="L1087" i="1"/>
  <c r="M1087" i="1" s="1"/>
  <c r="L1088" i="1"/>
  <c r="L1089" i="1"/>
  <c r="M1089" i="1" s="1"/>
  <c r="L1090" i="1"/>
  <c r="M1090" i="1" s="1"/>
  <c r="L1091" i="1"/>
  <c r="M1091" i="1" s="1"/>
  <c r="L1092" i="1"/>
  <c r="M1092" i="1" s="1"/>
  <c r="L1093" i="1"/>
  <c r="L1094" i="1"/>
  <c r="M1094" i="1" s="1"/>
  <c r="L1095" i="1"/>
  <c r="M1095" i="1" s="1"/>
  <c r="L1096" i="1"/>
  <c r="M1096" i="1" s="1"/>
  <c r="L1097" i="1"/>
  <c r="M1097" i="1" s="1"/>
  <c r="L1098" i="1"/>
  <c r="L1099" i="1"/>
  <c r="M1099" i="1" s="1"/>
  <c r="L1100" i="1"/>
  <c r="M1100" i="1" s="1"/>
  <c r="L1101" i="1"/>
  <c r="M1101" i="1" s="1"/>
  <c r="L1102" i="1"/>
  <c r="M1102" i="1" s="1"/>
  <c r="L1103" i="1"/>
  <c r="M1103" i="1" s="1"/>
  <c r="L1104" i="1"/>
  <c r="M1104" i="1" s="1"/>
  <c r="L1105" i="1"/>
  <c r="M1105" i="1" s="1"/>
  <c r="L1106" i="1"/>
  <c r="M1106" i="1" s="1"/>
  <c r="L1107" i="1"/>
  <c r="M1107" i="1" s="1"/>
  <c r="L1108" i="1"/>
  <c r="M1108" i="1" s="1"/>
  <c r="L1109" i="1"/>
  <c r="M1109" i="1" s="1"/>
  <c r="L1110" i="1"/>
  <c r="M1110" i="1" s="1"/>
  <c r="L1111" i="1"/>
  <c r="M1111" i="1" s="1"/>
  <c r="L1112" i="1"/>
  <c r="M1112" i="1" s="1"/>
  <c r="L1113" i="1"/>
  <c r="M1113" i="1" s="1"/>
  <c r="L1114" i="1"/>
  <c r="M1114" i="1" s="1"/>
  <c r="L1115" i="1"/>
  <c r="M1115" i="1" s="1"/>
  <c r="L1116" i="1"/>
  <c r="M1116" i="1" s="1"/>
  <c r="L1117" i="1"/>
  <c r="M1117" i="1" s="1"/>
  <c r="L1118" i="1"/>
  <c r="M1118" i="1" s="1"/>
  <c r="L1119" i="1"/>
  <c r="M1119" i="1" s="1"/>
  <c r="L1120" i="1"/>
  <c r="M1120" i="1" s="1"/>
  <c r="L1121" i="1"/>
  <c r="M1121" i="1" s="1"/>
  <c r="L1122" i="1"/>
  <c r="M1122" i="1" s="1"/>
  <c r="L1123" i="1"/>
  <c r="M1123" i="1" s="1"/>
  <c r="L1124" i="1"/>
  <c r="M1124" i="1" s="1"/>
  <c r="L1125" i="1"/>
  <c r="M1125" i="1" s="1"/>
  <c r="L1126" i="1"/>
  <c r="M1126" i="1" s="1"/>
  <c r="L1128" i="1"/>
  <c r="M1128" i="1" s="1"/>
  <c r="L1132" i="1"/>
  <c r="M1132" i="1" s="1"/>
  <c r="L1134" i="1"/>
  <c r="M1134" i="1" s="1"/>
  <c r="L1135" i="1"/>
  <c r="M1135" i="1" s="1"/>
  <c r="L1136" i="1"/>
  <c r="M1136" i="1" s="1"/>
  <c r="L1137" i="1"/>
  <c r="M1137" i="1" s="1"/>
  <c r="L1138" i="1"/>
  <c r="M1138" i="1" s="1"/>
  <c r="L1139" i="1"/>
  <c r="M1139" i="1" s="1"/>
  <c r="L1140" i="1"/>
  <c r="M1140" i="1" s="1"/>
  <c r="L1141" i="1"/>
  <c r="M1141" i="1" s="1"/>
  <c r="L1142" i="1"/>
  <c r="M1142" i="1" s="1"/>
  <c r="L1143" i="1"/>
  <c r="M1143" i="1" s="1"/>
  <c r="L1144" i="1"/>
  <c r="M1144" i="1" s="1"/>
  <c r="L1145" i="1"/>
  <c r="M1145" i="1" s="1"/>
  <c r="L1146" i="1"/>
  <c r="M1146" i="1" s="1"/>
  <c r="L1147" i="1"/>
  <c r="M1147" i="1" s="1"/>
  <c r="L1148" i="1"/>
  <c r="M1148" i="1" s="1"/>
  <c r="L1149" i="1"/>
  <c r="M1149" i="1" s="1"/>
  <c r="L1150" i="1"/>
  <c r="M1150" i="1" s="1"/>
  <c r="L1151" i="1"/>
  <c r="M1151" i="1" s="1"/>
  <c r="L1152" i="1"/>
  <c r="M1152" i="1" s="1"/>
  <c r="L1153" i="1"/>
  <c r="M1153" i="1" s="1"/>
  <c r="L1154" i="1"/>
  <c r="M1154" i="1" s="1"/>
  <c r="L1155" i="1"/>
  <c r="M1155" i="1" s="1"/>
  <c r="L1156" i="1"/>
  <c r="M1156" i="1" s="1"/>
  <c r="L1157" i="1"/>
  <c r="M1157" i="1" s="1"/>
  <c r="L1159" i="1"/>
  <c r="M1159" i="1" s="1"/>
  <c r="L1160" i="1"/>
  <c r="M1160" i="1" s="1"/>
  <c r="L1161" i="1"/>
  <c r="M1161" i="1" s="1"/>
  <c r="L1162" i="1"/>
  <c r="M1162" i="1" s="1"/>
  <c r="L1163" i="1"/>
  <c r="M1163" i="1" s="1"/>
  <c r="L1164" i="1"/>
  <c r="L1165" i="1"/>
  <c r="M1165" i="1" s="1"/>
  <c r="L1166" i="1"/>
  <c r="M1166" i="1" s="1"/>
  <c r="L1167" i="1"/>
  <c r="M1167" i="1" s="1"/>
  <c r="L1168" i="1"/>
  <c r="M1168" i="1" s="1"/>
  <c r="L1171" i="1"/>
  <c r="M1171" i="1" s="1"/>
  <c r="L1172" i="1"/>
  <c r="L1173" i="1"/>
  <c r="M1173" i="1" s="1"/>
  <c r="L1174" i="1"/>
  <c r="M1174" i="1" s="1"/>
  <c r="L1176" i="1"/>
  <c r="M1176" i="1" s="1"/>
  <c r="L1177" i="1"/>
  <c r="M1177" i="1" s="1"/>
  <c r="L1178" i="1"/>
  <c r="M1178" i="1" s="1"/>
  <c r="L1179" i="1"/>
  <c r="L1180" i="1"/>
  <c r="M1180" i="1" s="1"/>
  <c r="L1181" i="1"/>
  <c r="L1182" i="1"/>
  <c r="M1182" i="1" s="1"/>
  <c r="L1183" i="1"/>
  <c r="M1183" i="1" s="1"/>
  <c r="L1184" i="1"/>
  <c r="M1184" i="1" s="1"/>
  <c r="L1185" i="1"/>
  <c r="M1185" i="1" s="1"/>
  <c r="L1187" i="1"/>
  <c r="M1187" i="1" s="1"/>
  <c r="L1188" i="1"/>
  <c r="M1188" i="1" s="1"/>
  <c r="L1189" i="1"/>
  <c r="M1189" i="1" s="1"/>
  <c r="L1190" i="1"/>
  <c r="M1190" i="1" s="1"/>
  <c r="L1191" i="1"/>
  <c r="M1191" i="1" s="1"/>
  <c r="L1192" i="1"/>
  <c r="M1192" i="1" s="1"/>
  <c r="L1193" i="1"/>
  <c r="M1193" i="1" s="1"/>
  <c r="L1194" i="1"/>
  <c r="M1194" i="1" s="1"/>
  <c r="L1205" i="1"/>
  <c r="M1205" i="1" s="1"/>
  <c r="L1206" i="1"/>
  <c r="M1206" i="1" s="1"/>
  <c r="L1216" i="1"/>
  <c r="M1216" i="1" s="1"/>
  <c r="L1217" i="1"/>
  <c r="M1217" i="1" s="1"/>
  <c r="L1221" i="1"/>
  <c r="L1227" i="1"/>
  <c r="M1227" i="1" s="1"/>
  <c r="L1230" i="1"/>
  <c r="M1230" i="1" s="1"/>
  <c r="L1231" i="1"/>
  <c r="M1231" i="1" s="1"/>
  <c r="L1232" i="1"/>
  <c r="M1232" i="1" s="1"/>
  <c r="L1233" i="1"/>
  <c r="M1233" i="1" s="1"/>
  <c r="L1234" i="1"/>
  <c r="M1234" i="1" s="1"/>
  <c r="L1235" i="1"/>
  <c r="M1235" i="1" s="1"/>
  <c r="L1236" i="1"/>
  <c r="M1236" i="1" s="1"/>
  <c r="L1237" i="1"/>
  <c r="M1237" i="1" s="1"/>
  <c r="L1238" i="1"/>
  <c r="M1238" i="1" s="1"/>
  <c r="L1239" i="1"/>
  <c r="M1239" i="1" s="1"/>
  <c r="L1240" i="1"/>
  <c r="M1240" i="1" s="1"/>
  <c r="L1242" i="1"/>
  <c r="M1242" i="1" s="1"/>
  <c r="L1243" i="1"/>
  <c r="M1243" i="1" s="1"/>
  <c r="L1244" i="1"/>
  <c r="M1244" i="1" s="1"/>
  <c r="L1245" i="1"/>
  <c r="M1245" i="1" s="1"/>
  <c r="L1246" i="1"/>
  <c r="M1246" i="1" s="1"/>
  <c r="L1247" i="1"/>
  <c r="M1247" i="1" s="1"/>
  <c r="L1248" i="1"/>
  <c r="M1248" i="1" s="1"/>
  <c r="L1249" i="1"/>
  <c r="M1249" i="1" s="1"/>
  <c r="L1250" i="1"/>
  <c r="M1250" i="1" s="1"/>
  <c r="L1251" i="1"/>
  <c r="M1251" i="1" s="1"/>
  <c r="L1253" i="1"/>
  <c r="M1253" i="1" s="1"/>
  <c r="L1254" i="1"/>
  <c r="M1254" i="1" s="1"/>
  <c r="L1256" i="1"/>
  <c r="M1256" i="1" s="1"/>
  <c r="L1277" i="1"/>
  <c r="M1277" i="1" s="1"/>
  <c r="L1283" i="1"/>
  <c r="M1283" i="1" s="1"/>
  <c r="L6" i="1"/>
  <c r="M6" i="1" s="1"/>
  <c r="M7" i="1"/>
  <c r="M9" i="1"/>
  <c r="M137" i="1"/>
  <c r="H170" i="1"/>
  <c r="L170" i="1" s="1"/>
  <c r="M170" i="1" s="1"/>
  <c r="H172" i="1"/>
  <c r="L172" i="1" s="1"/>
  <c r="M172" i="1" s="1"/>
  <c r="H174" i="1"/>
  <c r="L174" i="1" s="1"/>
  <c r="M174" i="1" s="1"/>
  <c r="H176" i="1"/>
  <c r="L176" i="1" s="1"/>
  <c r="M176" i="1" s="1"/>
  <c r="H177" i="1"/>
  <c r="L177" i="1" s="1"/>
  <c r="M177" i="1" s="1"/>
  <c r="H178" i="1"/>
  <c r="L178" i="1" s="1"/>
  <c r="M178" i="1" s="1"/>
  <c r="K179" i="1"/>
  <c r="L179" i="1" s="1"/>
  <c r="M179" i="1" s="1"/>
  <c r="H181" i="1"/>
  <c r="L181" i="1" s="1"/>
  <c r="M181" i="1" s="1"/>
  <c r="H182" i="1"/>
  <c r="L182" i="1" s="1"/>
  <c r="M182" i="1"/>
  <c r="K184" i="1"/>
  <c r="L184" i="1" s="1"/>
  <c r="M184" i="1" s="1"/>
  <c r="H185" i="1"/>
  <c r="L185" i="1" s="1"/>
  <c r="M185" i="1" s="1"/>
  <c r="K185" i="1"/>
  <c r="M186" i="1"/>
  <c r="H187" i="1"/>
  <c r="L187" i="1" s="1"/>
  <c r="M187" i="1" s="1"/>
  <c r="H188" i="1"/>
  <c r="L188" i="1" s="1"/>
  <c r="M188" i="1" s="1"/>
  <c r="H189" i="1"/>
  <c r="L189" i="1" s="1"/>
  <c r="M189" i="1" s="1"/>
  <c r="H191" i="1"/>
  <c r="L191" i="1" s="1"/>
  <c r="M191" i="1" s="1"/>
  <c r="H192" i="1"/>
  <c r="K192" i="1"/>
  <c r="H193" i="1"/>
  <c r="L193" i="1" s="1"/>
  <c r="M193" i="1" s="1"/>
  <c r="H195" i="1"/>
  <c r="L195" i="1" s="1"/>
  <c r="M195" i="1" s="1"/>
  <c r="M198" i="1"/>
  <c r="H200" i="1"/>
  <c r="L200" i="1" s="1"/>
  <c r="M200" i="1" s="1"/>
  <c r="H201" i="1"/>
  <c r="L201" i="1" s="1"/>
  <c r="M201" i="1" s="1"/>
  <c r="H204" i="1"/>
  <c r="L204" i="1" s="1"/>
  <c r="M204" i="1" s="1"/>
  <c r="H205" i="1"/>
  <c r="K205" i="1"/>
  <c r="H206" i="1"/>
  <c r="L206" i="1" s="1"/>
  <c r="M206" i="1" s="1"/>
  <c r="H207" i="1"/>
  <c r="L207" i="1" s="1"/>
  <c r="M207" i="1" s="1"/>
  <c r="H208" i="1"/>
  <c r="L208" i="1" s="1"/>
  <c r="M208" i="1" s="1"/>
  <c r="H209" i="1"/>
  <c r="L209" i="1" s="1"/>
  <c r="M209" i="1" s="1"/>
  <c r="H212" i="1"/>
  <c r="L212" i="1" s="1"/>
  <c r="M212" i="1"/>
  <c r="M214" i="1"/>
  <c r="H215" i="1"/>
  <c r="L215" i="1" s="1"/>
  <c r="M215" i="1" s="1"/>
  <c r="K215" i="1"/>
  <c r="K216" i="1"/>
  <c r="L216" i="1" s="1"/>
  <c r="M216" i="1" s="1"/>
  <c r="H217" i="1"/>
  <c r="L217" i="1" s="1"/>
  <c r="M217" i="1" s="1"/>
  <c r="H218" i="1"/>
  <c r="L218" i="1" s="1"/>
  <c r="K218" i="1"/>
  <c r="M218" i="1"/>
  <c r="H221" i="1"/>
  <c r="L221" i="1" s="1"/>
  <c r="M221" i="1" s="1"/>
  <c r="H223" i="1"/>
  <c r="L223" i="1" s="1"/>
  <c r="M223" i="1" s="1"/>
  <c r="K223" i="1"/>
  <c r="K230" i="1"/>
  <c r="L230" i="1" s="1"/>
  <c r="M230" i="1" s="1"/>
  <c r="H232" i="1"/>
  <c r="K232" i="1"/>
  <c r="H234" i="1"/>
  <c r="I234" i="1"/>
  <c r="H236" i="1"/>
  <c r="K236" i="1"/>
  <c r="H237" i="1"/>
  <c r="L237" i="1" s="1"/>
  <c r="M237" i="1" s="1"/>
  <c r="H238" i="1"/>
  <c r="L238" i="1" s="1"/>
  <c r="M238" i="1" s="1"/>
  <c r="H240" i="1"/>
  <c r="K240" i="1"/>
  <c r="H241" i="1"/>
  <c r="K241" i="1"/>
  <c r="M242" i="1"/>
  <c r="H243" i="1"/>
  <c r="L243" i="1" s="1"/>
  <c r="M243" i="1" s="1"/>
  <c r="H244" i="1"/>
  <c r="L244" i="1" s="1"/>
  <c r="M244" i="1" s="1"/>
  <c r="H245" i="1"/>
  <c r="K245" i="1"/>
  <c r="H246" i="1"/>
  <c r="L246" i="1" s="1"/>
  <c r="M246" i="1" s="1"/>
  <c r="H250" i="1"/>
  <c r="L250" i="1" s="1"/>
  <c r="M250" i="1" s="1"/>
  <c r="H251" i="1"/>
  <c r="L251" i="1" s="1"/>
  <c r="M251" i="1" s="1"/>
  <c r="H253" i="1"/>
  <c r="L253" i="1" s="1"/>
  <c r="M253" i="1" s="1"/>
  <c r="H254" i="1"/>
  <c r="L254" i="1" s="1"/>
  <c r="M254" i="1" s="1"/>
  <c r="H255" i="1"/>
  <c r="L255" i="1" s="1"/>
  <c r="M255" i="1" s="1"/>
  <c r="H256" i="1"/>
  <c r="L256" i="1" s="1"/>
  <c r="M256" i="1" s="1"/>
  <c r="H258" i="1"/>
  <c r="K258" i="1"/>
  <c r="H259" i="1"/>
  <c r="L259" i="1" s="1"/>
  <c r="M259" i="1" s="1"/>
  <c r="K261" i="1"/>
  <c r="L261" i="1" s="1"/>
  <c r="M261" i="1" s="1"/>
  <c r="H262" i="1"/>
  <c r="L262" i="1" s="1"/>
  <c r="M262" i="1" s="1"/>
  <c r="H263" i="1"/>
  <c r="L263" i="1" s="1"/>
  <c r="M263" i="1" s="1"/>
  <c r="H265" i="1"/>
  <c r="L265" i="1" s="1"/>
  <c r="M265" i="1" s="1"/>
  <c r="H266" i="1"/>
  <c r="L266" i="1" s="1"/>
  <c r="M266" i="1" s="1"/>
  <c r="H267" i="1"/>
  <c r="L267" i="1" s="1"/>
  <c r="M267" i="1" s="1"/>
  <c r="H268" i="1"/>
  <c r="L268" i="1" s="1"/>
  <c r="M268" i="1" s="1"/>
  <c r="K269" i="1"/>
  <c r="L269" i="1" s="1"/>
  <c r="M269" i="1" s="1"/>
  <c r="M270" i="1"/>
  <c r="H271" i="1"/>
  <c r="L271" i="1" s="1"/>
  <c r="M271" i="1" s="1"/>
  <c r="H273" i="1"/>
  <c r="K273" i="1"/>
  <c r="H274" i="1"/>
  <c r="L274" i="1" s="1"/>
  <c r="M274" i="1" s="1"/>
  <c r="H275" i="1"/>
  <c r="K275" i="1"/>
  <c r="H276" i="1"/>
  <c r="K276" i="1"/>
  <c r="M278" i="1"/>
  <c r="H279" i="1"/>
  <c r="K279" i="1"/>
  <c r="M280" i="1"/>
  <c r="K281" i="1"/>
  <c r="L281" i="1" s="1"/>
  <c r="M281" i="1" s="1"/>
  <c r="H282" i="1"/>
  <c r="K282" i="1"/>
  <c r="H285" i="1"/>
  <c r="L285" i="1" s="1"/>
  <c r="M285" i="1" s="1"/>
  <c r="M286" i="1"/>
  <c r="H287" i="1"/>
  <c r="L287" i="1" s="1"/>
  <c r="M287" i="1" s="1"/>
  <c r="K288" i="1"/>
  <c r="L288" i="1" s="1"/>
  <c r="M288" i="1" s="1"/>
  <c r="H290" i="1"/>
  <c r="K290" i="1"/>
  <c r="H291" i="1"/>
  <c r="L291" i="1" s="1"/>
  <c r="M291" i="1" s="1"/>
  <c r="K293" i="1"/>
  <c r="L293" i="1" s="1"/>
  <c r="M293" i="1" s="1"/>
  <c r="H294" i="1"/>
  <c r="L294" i="1" s="1"/>
  <c r="M294" i="1" s="1"/>
  <c r="H296" i="1"/>
  <c r="L296" i="1" s="1"/>
  <c r="M296" i="1" s="1"/>
  <c r="H297" i="1"/>
  <c r="L297" i="1" s="1"/>
  <c r="M297" i="1" s="1"/>
  <c r="H299" i="1"/>
  <c r="L299" i="1" s="1"/>
  <c r="M299" i="1" s="1"/>
  <c r="M300" i="1"/>
  <c r="H301" i="1"/>
  <c r="L301" i="1" s="1"/>
  <c r="M301" i="1" s="1"/>
  <c r="H302" i="1"/>
  <c r="L302" i="1" s="1"/>
  <c r="M302" i="1" s="1"/>
  <c r="H303" i="1"/>
  <c r="L303" i="1" s="1"/>
  <c r="M303" i="1" s="1"/>
  <c r="H304" i="1"/>
  <c r="L304" i="1" s="1"/>
  <c r="M304" i="1" s="1"/>
  <c r="H305" i="1"/>
  <c r="K305" i="1"/>
  <c r="H306" i="1"/>
  <c r="L306" i="1" s="1"/>
  <c r="M306" i="1" s="1"/>
  <c r="H307" i="1"/>
  <c r="L307" i="1" s="1"/>
  <c r="M307" i="1" s="1"/>
  <c r="H308" i="1"/>
  <c r="K308" i="1"/>
  <c r="H309" i="1"/>
  <c r="K309" i="1"/>
  <c r="M310" i="1"/>
  <c r="H311" i="1"/>
  <c r="L311" i="1" s="1"/>
  <c r="M311" i="1" s="1"/>
  <c r="H312" i="1"/>
  <c r="L312" i="1" s="1"/>
  <c r="M312" i="1" s="1"/>
  <c r="M314" i="1"/>
  <c r="H315" i="1"/>
  <c r="L315" i="1" s="1"/>
  <c r="M315" i="1" s="1"/>
  <c r="H317" i="1"/>
  <c r="K317" i="1"/>
  <c r="H319" i="1"/>
  <c r="L319" i="1" s="1"/>
  <c r="M319" i="1" s="1"/>
  <c r="M320" i="1"/>
  <c r="M322" i="1"/>
  <c r="M324" i="1"/>
  <c r="H325" i="1"/>
  <c r="L325" i="1" s="1"/>
  <c r="M325" i="1" s="1"/>
  <c r="H326" i="1"/>
  <c r="L326" i="1" s="1"/>
  <c r="M326" i="1" s="1"/>
  <c r="H327" i="1"/>
  <c r="L327" i="1" s="1"/>
  <c r="M327" i="1" s="1"/>
  <c r="H330" i="1"/>
  <c r="L330" i="1" s="1"/>
  <c r="M330" i="1"/>
  <c r="M332" i="1"/>
  <c r="H333" i="1"/>
  <c r="L333" i="1" s="1"/>
  <c r="M333" i="1" s="1"/>
  <c r="H335" i="1"/>
  <c r="L335" i="1" s="1"/>
  <c r="M335" i="1" s="1"/>
  <c r="H336" i="1"/>
  <c r="L336" i="1" s="1"/>
  <c r="M336" i="1" s="1"/>
  <c r="H337" i="1"/>
  <c r="L337" i="1" s="1"/>
  <c r="M337" i="1" s="1"/>
  <c r="H338" i="1"/>
  <c r="L338" i="1" s="1"/>
  <c r="M338" i="1" s="1"/>
  <c r="H341" i="1"/>
  <c r="K341" i="1"/>
  <c r="H343" i="1"/>
  <c r="L343" i="1" s="1"/>
  <c r="M343" i="1" s="1"/>
  <c r="H344" i="1"/>
  <c r="L344" i="1" s="1"/>
  <c r="M344" i="1" s="1"/>
  <c r="H345" i="1"/>
  <c r="L345" i="1" s="1"/>
  <c r="M345" i="1" s="1"/>
  <c r="H346" i="1"/>
  <c r="L346" i="1" s="1"/>
  <c r="M346" i="1" s="1"/>
  <c r="K346" i="1"/>
  <c r="H348" i="1"/>
  <c r="L348" i="1" s="1"/>
  <c r="M348" i="1" s="1"/>
  <c r="H350" i="1"/>
  <c r="L350" i="1" s="1"/>
  <c r="M350" i="1" s="1"/>
  <c r="H351" i="1"/>
  <c r="L351" i="1" s="1"/>
  <c r="M351" i="1" s="1"/>
  <c r="H353" i="1"/>
  <c r="L353" i="1" s="1"/>
  <c r="M353" i="1" s="1"/>
  <c r="M354" i="1"/>
  <c r="M356" i="1"/>
  <c r="H357" i="1"/>
  <c r="L357" i="1" s="1"/>
  <c r="M357" i="1" s="1"/>
  <c r="H358" i="1"/>
  <c r="L358" i="1" s="1"/>
  <c r="M358" i="1"/>
  <c r="H360" i="1"/>
  <c r="L360" i="1" s="1"/>
  <c r="M360" i="1" s="1"/>
  <c r="H361" i="1"/>
  <c r="L361" i="1" s="1"/>
  <c r="M361" i="1" s="1"/>
  <c r="H362" i="1"/>
  <c r="L362" i="1" s="1"/>
  <c r="M362" i="1" s="1"/>
  <c r="H363" i="1"/>
  <c r="L363" i="1" s="1"/>
  <c r="M363" i="1" s="1"/>
  <c r="K363" i="1"/>
  <c r="H364" i="1"/>
  <c r="L364" i="1" s="1"/>
  <c r="M364" i="1" s="1"/>
  <c r="H365" i="1"/>
  <c r="K365" i="1"/>
  <c r="H366" i="1"/>
  <c r="L366" i="1" s="1"/>
  <c r="M366" i="1" s="1"/>
  <c r="H367" i="1"/>
  <c r="L367" i="1" s="1"/>
  <c r="M367" i="1" s="1"/>
  <c r="M368" i="1"/>
  <c r="M370" i="1"/>
  <c r="K371" i="1"/>
  <c r="L371" i="1" s="1"/>
  <c r="M371" i="1" s="1"/>
  <c r="H373" i="1"/>
  <c r="K373" i="1"/>
  <c r="H374" i="1"/>
  <c r="L374" i="1" s="1"/>
  <c r="M374" i="1" s="1"/>
  <c r="M376" i="1"/>
  <c r="H378" i="1"/>
  <c r="L378" i="1" s="1"/>
  <c r="M378" i="1" s="1"/>
  <c r="H379" i="1"/>
  <c r="K379" i="1"/>
  <c r="H380" i="1"/>
  <c r="L380" i="1" s="1"/>
  <c r="M380" i="1" s="1"/>
  <c r="H381" i="1"/>
  <c r="L381" i="1" s="1"/>
  <c r="M381" i="1" s="1"/>
  <c r="H383" i="1"/>
  <c r="L383" i="1" s="1"/>
  <c r="M383" i="1" s="1"/>
  <c r="M384" i="1"/>
  <c r="H386" i="1"/>
  <c r="L386" i="1" s="1"/>
  <c r="M386" i="1" s="1"/>
  <c r="H387" i="1"/>
  <c r="L387" i="1" s="1"/>
  <c r="M387" i="1" s="1"/>
  <c r="H388" i="1"/>
  <c r="L388" i="1" s="1"/>
  <c r="M388" i="1" s="1"/>
  <c r="K390" i="1"/>
  <c r="L390" i="1" s="1"/>
  <c r="M390" i="1" s="1"/>
  <c r="H392" i="1"/>
  <c r="L392" i="1" s="1"/>
  <c r="M392" i="1" s="1"/>
  <c r="H394" i="1"/>
  <c r="K394" i="1"/>
  <c r="H395" i="1"/>
  <c r="L395" i="1" s="1"/>
  <c r="M395" i="1" s="1"/>
  <c r="H396" i="1"/>
  <c r="L396" i="1" s="1"/>
  <c r="M396" i="1" s="1"/>
  <c r="H398" i="1"/>
  <c r="L398" i="1" s="1"/>
  <c r="M398" i="1" s="1"/>
  <c r="H399" i="1"/>
  <c r="L399" i="1" s="1"/>
  <c r="M399" i="1" s="1"/>
  <c r="H400" i="1"/>
  <c r="L400" i="1" s="1"/>
  <c r="M400" i="1" s="1"/>
  <c r="M402" i="1"/>
  <c r="H403" i="1"/>
  <c r="L403" i="1" s="1"/>
  <c r="M403" i="1" s="1"/>
  <c r="H405" i="1"/>
  <c r="L405" i="1" s="1"/>
  <c r="M405" i="1" s="1"/>
  <c r="H406" i="1"/>
  <c r="L406" i="1" s="1"/>
  <c r="M406" i="1" s="1"/>
  <c r="H407" i="1"/>
  <c r="L407" i="1" s="1"/>
  <c r="M407" i="1" s="1"/>
  <c r="M408" i="1"/>
  <c r="M410" i="1"/>
  <c r="H412" i="1"/>
  <c r="L412" i="1" s="1"/>
  <c r="M412" i="1" s="1"/>
  <c r="H415" i="1"/>
  <c r="L415" i="1" s="1"/>
  <c r="M415" i="1" s="1"/>
  <c r="H416" i="1"/>
  <c r="L416" i="1" s="1"/>
  <c r="M416" i="1" s="1"/>
  <c r="H417" i="1"/>
  <c r="K417" i="1"/>
  <c r="H420" i="1"/>
  <c r="K420" i="1"/>
  <c r="H421" i="1"/>
  <c r="L421" i="1" s="1"/>
  <c r="M421" i="1" s="1"/>
  <c r="H422" i="1"/>
  <c r="L422" i="1" s="1"/>
  <c r="M422" i="1" s="1"/>
  <c r="H423" i="1"/>
  <c r="L423" i="1" s="1"/>
  <c r="M423" i="1" s="1"/>
  <c r="H424" i="1"/>
  <c r="K424" i="1"/>
  <c r="H425" i="1"/>
  <c r="L425" i="1" s="1"/>
  <c r="M425" i="1" s="1"/>
  <c r="H427" i="1"/>
  <c r="K427" i="1"/>
  <c r="H428" i="1"/>
  <c r="L428" i="1" s="1"/>
  <c r="M428" i="1" s="1"/>
  <c r="H429" i="1"/>
  <c r="L429" i="1" s="1"/>
  <c r="M429" i="1" s="1"/>
  <c r="H431" i="1"/>
  <c r="L431" i="1" s="1"/>
  <c r="M431" i="1" s="1"/>
  <c r="H432" i="1"/>
  <c r="L432" i="1" s="1"/>
  <c r="M432" i="1" s="1"/>
  <c r="H433" i="1"/>
  <c r="L433" i="1" s="1"/>
  <c r="M433" i="1" s="1"/>
  <c r="M434" i="1"/>
  <c r="H435" i="1"/>
  <c r="L435" i="1" s="1"/>
  <c r="M435" i="1" s="1"/>
  <c r="H436" i="1"/>
  <c r="L436" i="1" s="1"/>
  <c r="M436" i="1" s="1"/>
  <c r="H437" i="1"/>
  <c r="L437" i="1" s="1"/>
  <c r="M437" i="1" s="1"/>
  <c r="H438" i="1"/>
  <c r="L438" i="1" s="1"/>
  <c r="M438" i="1" s="1"/>
  <c r="M440" i="1"/>
  <c r="H442" i="1"/>
  <c r="L442" i="1" s="1"/>
  <c r="M442" i="1" s="1"/>
  <c r="H443" i="1"/>
  <c r="L443" i="1" s="1"/>
  <c r="M443" i="1" s="1"/>
  <c r="M479" i="1"/>
  <c r="H558" i="1"/>
  <c r="L558" i="1" s="1"/>
  <c r="M558" i="1" s="1"/>
  <c r="H559" i="1"/>
  <c r="L559" i="1" s="1"/>
  <c r="M559" i="1" s="1"/>
  <c r="M560" i="1"/>
  <c r="M562" i="1"/>
  <c r="M564" i="1"/>
  <c r="M566" i="1"/>
  <c r="M568" i="1"/>
  <c r="M570" i="1"/>
  <c r="M572" i="1"/>
  <c r="M574" i="1"/>
  <c r="M576" i="1"/>
  <c r="M578" i="1"/>
  <c r="M580" i="1"/>
  <c r="M582" i="1"/>
  <c r="M584" i="1"/>
  <c r="M586" i="1"/>
  <c r="M588" i="1"/>
  <c r="H590" i="1"/>
  <c r="L590" i="1" s="1"/>
  <c r="M590" i="1" s="1"/>
  <c r="H592" i="1"/>
  <c r="K592" i="1"/>
  <c r="H593" i="1"/>
  <c r="L593" i="1" s="1"/>
  <c r="M593" i="1" s="1"/>
  <c r="H594" i="1"/>
  <c r="K594" i="1"/>
  <c r="M596" i="1"/>
  <c r="M598" i="1"/>
  <c r="M600" i="1"/>
  <c r="M602" i="1"/>
  <c r="M604" i="1"/>
  <c r="M606" i="1"/>
  <c r="M608" i="1"/>
  <c r="M610" i="1"/>
  <c r="M612" i="1"/>
  <c r="M614" i="1"/>
  <c r="M616" i="1"/>
  <c r="M618" i="1"/>
  <c r="M620" i="1"/>
  <c r="M622" i="1"/>
  <c r="M624" i="1"/>
  <c r="M626" i="1"/>
  <c r="M628" i="1"/>
  <c r="M630" i="1"/>
  <c r="M632" i="1"/>
  <c r="M634" i="1"/>
  <c r="M636" i="1"/>
  <c r="M638" i="1"/>
  <c r="M640" i="1"/>
  <c r="M642" i="1"/>
  <c r="M644" i="1"/>
  <c r="M646" i="1"/>
  <c r="M648" i="1"/>
  <c r="M650" i="1"/>
  <c r="M652" i="1"/>
  <c r="M654" i="1"/>
  <c r="M656" i="1"/>
  <c r="M658" i="1"/>
  <c r="M660" i="1"/>
  <c r="M662" i="1"/>
  <c r="M664" i="1"/>
  <c r="M666" i="1"/>
  <c r="M668" i="1"/>
  <c r="M670" i="1"/>
  <c r="M672" i="1"/>
  <c r="M674" i="1"/>
  <c r="M676" i="1"/>
  <c r="M678" i="1"/>
  <c r="M680" i="1"/>
  <c r="M682" i="1"/>
  <c r="M684" i="1"/>
  <c r="M686" i="1"/>
  <c r="M688" i="1"/>
  <c r="M690" i="1"/>
  <c r="M692" i="1"/>
  <c r="M694" i="1"/>
  <c r="M696" i="1"/>
  <c r="M698" i="1"/>
  <c r="M700" i="1"/>
  <c r="M702" i="1"/>
  <c r="M704" i="1"/>
  <c r="M706" i="1"/>
  <c r="M708" i="1"/>
  <c r="M710" i="1"/>
  <c r="M712" i="1"/>
  <c r="M714" i="1"/>
  <c r="M716" i="1"/>
  <c r="M718" i="1"/>
  <c r="M720" i="1"/>
  <c r="M722" i="1"/>
  <c r="M724" i="1"/>
  <c r="M726" i="1"/>
  <c r="M728" i="1"/>
  <c r="M795" i="1"/>
  <c r="M877" i="1"/>
  <c r="M941" i="1"/>
  <c r="M1005" i="1"/>
  <c r="J1021" i="1"/>
  <c r="K1021" i="1"/>
  <c r="M1023" i="1"/>
  <c r="M1025" i="1"/>
  <c r="M1027" i="1"/>
  <c r="M1029" i="1"/>
  <c r="M1031" i="1"/>
  <c r="M1033" i="1"/>
  <c r="M1035" i="1"/>
  <c r="M1037" i="1"/>
  <c r="M1039" i="1"/>
  <c r="M1041" i="1"/>
  <c r="M1043" i="1"/>
  <c r="M1045" i="1"/>
  <c r="M1047" i="1"/>
  <c r="M1049" i="1"/>
  <c r="M1051" i="1"/>
  <c r="M1053" i="1"/>
  <c r="M1055" i="1"/>
  <c r="M1057" i="1"/>
  <c r="M1059" i="1"/>
  <c r="M1061" i="1"/>
  <c r="M1063" i="1"/>
  <c r="M1065" i="1"/>
  <c r="M1067" i="1"/>
  <c r="M1069" i="1"/>
  <c r="M1071" i="1"/>
  <c r="M1073" i="1"/>
  <c r="M1075" i="1"/>
  <c r="M1077" i="1"/>
  <c r="M1079" i="1"/>
  <c r="M1098" i="1"/>
  <c r="H1127" i="1"/>
  <c r="L1127" i="1" s="1"/>
  <c r="M1127" i="1" s="1"/>
  <c r="H1129" i="1"/>
  <c r="L1129" i="1" s="1"/>
  <c r="M1129" i="1" s="1"/>
  <c r="H1130" i="1"/>
  <c r="L1130" i="1" s="1"/>
  <c r="M1130" i="1" s="1"/>
  <c r="H1131" i="1"/>
  <c r="L1131" i="1" s="1"/>
  <c r="M1131" i="1" s="1"/>
  <c r="H1133" i="1"/>
  <c r="L1133" i="1" s="1"/>
  <c r="M1133" i="1" s="1"/>
  <c r="H1158" i="1"/>
  <c r="L1158" i="1" s="1"/>
  <c r="M1158" i="1" s="1"/>
  <c r="H1169" i="1"/>
  <c r="L1169" i="1" s="1"/>
  <c r="M1169" i="1" s="1"/>
  <c r="K1169" i="1"/>
  <c r="H1170" i="1"/>
  <c r="L1170" i="1" s="1"/>
  <c r="M1170" i="1" s="1"/>
  <c r="K1175" i="1"/>
  <c r="L1175" i="1" s="1"/>
  <c r="M1175" i="1"/>
  <c r="M1179" i="1"/>
  <c r="H1186" i="1"/>
  <c r="L1186" i="1" s="1"/>
  <c r="M1186" i="1" s="1"/>
  <c r="K1186" i="1"/>
  <c r="H1195" i="1"/>
  <c r="L1195" i="1" s="1"/>
  <c r="M1195" i="1" s="1"/>
  <c r="H1196" i="1"/>
  <c r="K1196" i="1"/>
  <c r="H1197" i="1"/>
  <c r="K1197" i="1"/>
  <c r="H1198" i="1"/>
  <c r="K1198" i="1"/>
  <c r="H1199" i="1"/>
  <c r="I1199" i="1"/>
  <c r="H1200" i="1"/>
  <c r="K1200" i="1"/>
  <c r="H1201" i="1"/>
  <c r="L1201" i="1" s="1"/>
  <c r="M1201" i="1" s="1"/>
  <c r="H1202" i="1"/>
  <c r="L1202" i="1" s="1"/>
  <c r="M1202" i="1" s="1"/>
  <c r="H1203" i="1"/>
  <c r="K1203" i="1"/>
  <c r="H1204" i="1"/>
  <c r="L1204" i="1" s="1"/>
  <c r="M1204" i="1" s="1"/>
  <c r="H1207" i="1"/>
  <c r="L1207" i="1" s="1"/>
  <c r="M1207" i="1" s="1"/>
  <c r="K1207" i="1"/>
  <c r="H1208" i="1"/>
  <c r="K1208" i="1"/>
  <c r="H1209" i="1"/>
  <c r="K1209" i="1"/>
  <c r="H1210" i="1"/>
  <c r="K1210" i="1"/>
  <c r="H1211" i="1"/>
  <c r="K1211" i="1"/>
  <c r="H1212" i="1"/>
  <c r="K1212" i="1"/>
  <c r="H1213" i="1"/>
  <c r="L1213" i="1" s="1"/>
  <c r="M1213" i="1" s="1"/>
  <c r="K1214" i="1"/>
  <c r="L1214" i="1" s="1"/>
  <c r="M1214" i="1" s="1"/>
  <c r="H1215" i="1"/>
  <c r="L1215" i="1" s="1"/>
  <c r="M1215" i="1" s="1"/>
  <c r="H1218" i="1"/>
  <c r="L1218" i="1" s="1"/>
  <c r="M1218" i="1" s="1"/>
  <c r="H1219" i="1"/>
  <c r="K1219" i="1"/>
  <c r="K1220" i="1"/>
  <c r="L1220" i="1" s="1"/>
  <c r="M1220" i="1" s="1"/>
  <c r="M1221" i="1"/>
  <c r="H1222" i="1"/>
  <c r="K1222" i="1"/>
  <c r="H1223" i="1"/>
  <c r="L1223" i="1" s="1"/>
  <c r="M1223" i="1" s="1"/>
  <c r="H1224" i="1"/>
  <c r="L1224" i="1" s="1"/>
  <c r="M1224" i="1" s="1"/>
  <c r="H1225" i="1"/>
  <c r="K1225" i="1"/>
  <c r="H1226" i="1"/>
  <c r="K1226" i="1"/>
  <c r="H1228" i="1"/>
  <c r="L1228" i="1" s="1"/>
  <c r="M1228" i="1" s="1"/>
  <c r="H1229" i="1"/>
  <c r="L1229" i="1" s="1"/>
  <c r="M1229" i="1" s="1"/>
  <c r="H1241" i="1"/>
  <c r="L1241" i="1" s="1"/>
  <c r="M1241" i="1" s="1"/>
  <c r="H1252" i="1"/>
  <c r="L1252" i="1" s="1"/>
  <c r="M1252" i="1" s="1"/>
  <c r="H1255" i="1"/>
  <c r="L1255" i="1" s="1"/>
  <c r="M1255" i="1" s="1"/>
  <c r="H1257" i="1"/>
  <c r="L1257" i="1" s="1"/>
  <c r="M1257" i="1" s="1"/>
  <c r="H1258" i="1"/>
  <c r="L1258" i="1" s="1"/>
  <c r="M1258" i="1" s="1"/>
  <c r="H1259" i="1"/>
  <c r="L1259" i="1" s="1"/>
  <c r="M1259" i="1" s="1"/>
  <c r="H1260" i="1"/>
  <c r="L1260" i="1" s="1"/>
  <c r="M1260" i="1" s="1"/>
  <c r="H1261" i="1"/>
  <c r="L1261" i="1" s="1"/>
  <c r="M1261" i="1" s="1"/>
  <c r="H1262" i="1"/>
  <c r="L1262" i="1" s="1"/>
  <c r="M1262" i="1" s="1"/>
  <c r="H1263" i="1"/>
  <c r="L1263" i="1" s="1"/>
  <c r="M1263" i="1" s="1"/>
  <c r="H1264" i="1"/>
  <c r="L1264" i="1" s="1"/>
  <c r="M1264" i="1" s="1"/>
  <c r="H1265" i="1"/>
  <c r="L1265" i="1" s="1"/>
  <c r="M1265" i="1" s="1"/>
  <c r="H1266" i="1"/>
  <c r="L1266" i="1" s="1"/>
  <c r="M1266" i="1" s="1"/>
  <c r="H1267" i="1"/>
  <c r="L1267" i="1" s="1"/>
  <c r="M1267" i="1" s="1"/>
  <c r="H1268" i="1"/>
  <c r="L1268" i="1" s="1"/>
  <c r="M1268" i="1" s="1"/>
  <c r="H1269" i="1"/>
  <c r="L1269" i="1" s="1"/>
  <c r="M1269" i="1" s="1"/>
  <c r="H1270" i="1"/>
  <c r="L1270" i="1" s="1"/>
  <c r="M1270" i="1" s="1"/>
  <c r="H1271" i="1"/>
  <c r="L1271" i="1" s="1"/>
  <c r="M1271" i="1" s="1"/>
  <c r="H1272" i="1"/>
  <c r="L1272" i="1" s="1"/>
  <c r="M1272" i="1" s="1"/>
  <c r="H1273" i="1"/>
  <c r="L1273" i="1" s="1"/>
  <c r="M1273" i="1" s="1"/>
  <c r="H1274" i="1"/>
  <c r="L1274" i="1" s="1"/>
  <c r="M1274" i="1" s="1"/>
  <c r="H1275" i="1"/>
  <c r="L1275" i="1" s="1"/>
  <c r="M1275" i="1" s="1"/>
  <c r="I1276" i="1"/>
  <c r="L1276" i="1" s="1"/>
  <c r="M1276" i="1" s="1"/>
  <c r="I1278" i="1"/>
  <c r="L1278" i="1" s="1"/>
  <c r="M1278" i="1" s="1"/>
  <c r="I1279" i="1"/>
  <c r="L1279" i="1" s="1"/>
  <c r="M1279" i="1" s="1"/>
  <c r="H1280" i="1"/>
  <c r="L1280" i="1" s="1"/>
  <c r="M1280" i="1" s="1"/>
  <c r="H1281" i="1"/>
  <c r="L1281" i="1" s="1"/>
  <c r="M1281" i="1" s="1"/>
  <c r="H1282" i="1"/>
  <c r="L1282" i="1" s="1"/>
  <c r="M1282" i="1" s="1"/>
  <c r="I2" i="2"/>
  <c r="H2" i="2"/>
  <c r="I3" i="2"/>
  <c r="H3" i="2"/>
  <c r="I4" i="2"/>
  <c r="H4" i="2"/>
  <c r="E5" i="2"/>
  <c r="G5" i="2"/>
  <c r="I5" i="2"/>
  <c r="H5" i="2"/>
  <c r="E6" i="2"/>
  <c r="H6" i="2"/>
  <c r="I6" i="2"/>
  <c r="E7" i="2"/>
  <c r="I7" i="2"/>
  <c r="H7" i="2"/>
  <c r="E8" i="2"/>
  <c r="H8" i="2"/>
  <c r="I8" i="2"/>
  <c r="E9" i="2"/>
  <c r="I9" i="2"/>
  <c r="H9" i="2"/>
  <c r="E10" i="2"/>
  <c r="H10" i="2"/>
  <c r="I10" i="2"/>
  <c r="E11" i="2"/>
  <c r="I11" i="2"/>
  <c r="H11" i="2"/>
  <c r="I12" i="2"/>
  <c r="H12" i="2"/>
  <c r="I13" i="2"/>
  <c r="H13" i="2"/>
  <c r="I14" i="2"/>
  <c r="H14" i="2"/>
  <c r="I15" i="2"/>
  <c r="H15" i="2"/>
  <c r="I16" i="2"/>
  <c r="H16" i="2"/>
  <c r="E17" i="2"/>
  <c r="H17" i="2"/>
  <c r="I17" i="2"/>
  <c r="H18" i="2"/>
  <c r="I18" i="2"/>
  <c r="E19" i="2"/>
  <c r="I19" i="2"/>
  <c r="H19" i="2"/>
  <c r="G19" i="2"/>
  <c r="E20" i="2"/>
  <c r="I20" i="2"/>
  <c r="H20" i="2"/>
  <c r="E21" i="2"/>
  <c r="H21" i="2"/>
  <c r="I21" i="2"/>
  <c r="E22" i="2"/>
  <c r="I22" i="2"/>
  <c r="H22" i="2"/>
  <c r="E23" i="2"/>
  <c r="G23" i="2"/>
  <c r="I23" i="2"/>
  <c r="H23" i="2"/>
  <c r="E24" i="2"/>
  <c r="H24" i="2"/>
  <c r="I24" i="2"/>
  <c r="H25" i="2"/>
  <c r="I25" i="2"/>
  <c r="E26" i="2"/>
  <c r="I26" i="2"/>
  <c r="H26" i="2"/>
  <c r="E27" i="2"/>
  <c r="H27" i="2"/>
  <c r="I27" i="2"/>
  <c r="H28" i="2"/>
  <c r="I28" i="2"/>
  <c r="E29" i="2"/>
  <c r="I29" i="2"/>
  <c r="H29" i="2"/>
  <c r="I30" i="2"/>
  <c r="H30" i="2"/>
  <c r="I31" i="2"/>
  <c r="H31" i="2"/>
  <c r="E32" i="2"/>
  <c r="H32" i="2"/>
  <c r="I32" i="2"/>
  <c r="H33" i="2"/>
  <c r="I33" i="2"/>
  <c r="H36" i="2"/>
  <c r="I36" i="2"/>
  <c r="E37" i="2"/>
  <c r="I37" i="2"/>
  <c r="H37" i="2"/>
  <c r="G37" i="2"/>
  <c r="H38" i="2"/>
  <c r="I38" i="2"/>
  <c r="L1219" i="1" l="1"/>
  <c r="M1219" i="1" s="1"/>
  <c r="L424" i="1"/>
  <c r="M424" i="1" s="1"/>
  <c r="L308" i="1"/>
  <c r="M308" i="1" s="1"/>
  <c r="L305" i="1"/>
  <c r="M305" i="1" s="1"/>
  <c r="L282" i="1"/>
  <c r="M282" i="1" s="1"/>
  <c r="L279" i="1"/>
  <c r="M279" i="1" s="1"/>
  <c r="L1226" i="1"/>
  <c r="M1226" i="1" s="1"/>
  <c r="L1225" i="1"/>
  <c r="M1225" i="1" s="1"/>
  <c r="L1222" i="1"/>
  <c r="M1222" i="1" s="1"/>
  <c r="L1212" i="1"/>
  <c r="M1212" i="1" s="1"/>
  <c r="L1211" i="1"/>
  <c r="M1211" i="1" s="1"/>
  <c r="L1210" i="1"/>
  <c r="M1210" i="1" s="1"/>
  <c r="L1209" i="1"/>
  <c r="M1209" i="1" s="1"/>
  <c r="L1208" i="1"/>
  <c r="M1208" i="1" s="1"/>
  <c r="L1203" i="1"/>
  <c r="M1203" i="1" s="1"/>
  <c r="L1200" i="1"/>
  <c r="M1200" i="1" s="1"/>
  <c r="L1199" i="1"/>
  <c r="M1199" i="1" s="1"/>
  <c r="L1198" i="1"/>
  <c r="M1198" i="1" s="1"/>
  <c r="L1197" i="1"/>
  <c r="M1197" i="1" s="1"/>
  <c r="L1196" i="1"/>
  <c r="M1196" i="1" s="1"/>
  <c r="L1021" i="1"/>
  <c r="M1021" i="1" s="1"/>
  <c r="L594" i="1"/>
  <c r="M594" i="1" s="1"/>
  <c r="L427" i="1"/>
  <c r="M427" i="1" s="1"/>
  <c r="L394" i="1"/>
  <c r="M394" i="1" s="1"/>
  <c r="L365" i="1"/>
  <c r="M365" i="1" s="1"/>
  <c r="L241" i="1"/>
  <c r="M241" i="1" s="1"/>
  <c r="L234" i="1"/>
  <c r="M234" i="1" s="1"/>
  <c r="L232" i="1"/>
  <c r="M232" i="1" s="1"/>
  <c r="K1284" i="1"/>
  <c r="L192" i="1"/>
  <c r="M192" i="1" s="1"/>
  <c r="I1284" i="1"/>
  <c r="H1284" i="1"/>
  <c r="L592" i="1"/>
  <c r="M592" i="1" s="1"/>
  <c r="L420" i="1"/>
  <c r="M420" i="1" s="1"/>
  <c r="L417" i="1"/>
  <c r="M417" i="1" s="1"/>
  <c r="L379" i="1"/>
  <c r="M379" i="1" s="1"/>
  <c r="L373" i="1"/>
  <c r="M373" i="1" s="1"/>
  <c r="L341" i="1"/>
  <c r="M341" i="1" s="1"/>
  <c r="L317" i="1"/>
  <c r="M317" i="1" s="1"/>
  <c r="L309" i="1"/>
  <c r="M309" i="1" s="1"/>
  <c r="L290" i="1"/>
  <c r="M290" i="1" s="1"/>
  <c r="L276" i="1"/>
  <c r="M276" i="1" s="1"/>
  <c r="L275" i="1"/>
  <c r="M275" i="1" s="1"/>
  <c r="L273" i="1"/>
  <c r="M273" i="1" s="1"/>
  <c r="L258" i="1"/>
  <c r="M258" i="1" s="1"/>
  <c r="L245" i="1"/>
  <c r="M245" i="1" s="1"/>
  <c r="L240" i="1"/>
  <c r="M240" i="1" s="1"/>
  <c r="L236" i="1"/>
  <c r="M236" i="1" s="1"/>
  <c r="L205" i="1"/>
  <c r="M205" i="1" l="1"/>
  <c r="M1284" i="1" s="1"/>
  <c r="L1284" i="1"/>
</calcChain>
</file>

<file path=xl/sharedStrings.xml><?xml version="1.0" encoding="utf-8"?>
<sst xmlns="http://schemas.openxmlformats.org/spreadsheetml/2006/main" count="7960" uniqueCount="3779">
  <si>
    <t>Convênio</t>
  </si>
  <si>
    <t>Protocolo</t>
  </si>
  <si>
    <t>Instituição</t>
  </si>
  <si>
    <t>Coordenador</t>
  </si>
  <si>
    <t>Meta</t>
  </si>
  <si>
    <t>Área</t>
  </si>
  <si>
    <t>Título do Projeto</t>
  </si>
  <si>
    <t>Custeio</t>
  </si>
  <si>
    <t>Bolsas</t>
  </si>
  <si>
    <t>Obras e Instalações</t>
  </si>
  <si>
    <t>Capital</t>
  </si>
  <si>
    <t>Total Convênio</t>
  </si>
  <si>
    <t>Valor Proj.</t>
  </si>
  <si>
    <t>1º Repasse</t>
  </si>
  <si>
    <t>2º Repasse</t>
  </si>
  <si>
    <t xml:space="preserve">Inicio Vigência </t>
  </si>
  <si>
    <t>Término Vigência</t>
  </si>
  <si>
    <t>SIT</t>
  </si>
  <si>
    <t>001/2012</t>
  </si>
  <si>
    <t>UEM</t>
  </si>
  <si>
    <t>Franklin César Flores</t>
  </si>
  <si>
    <t>Participação em Eventos Técnicos Científicos – 06/2011</t>
  </si>
  <si>
    <t>Matemática, Estatística e Informática</t>
  </si>
  <si>
    <t>Solicitação de apoio financeiro para apresentação de trabalho no VISAPP 2012.</t>
  </si>
  <si>
    <t>002/2012</t>
  </si>
  <si>
    <t>Mario Luiz Neves de Azevedo</t>
  </si>
  <si>
    <t>Educação e Psicologia</t>
  </si>
  <si>
    <t>Bologna Process and Higher Education in Mercosur: Regionalization, globalisation or europeanisation? (O processo de Bolonha e a Educação Superior no Mercosul : Regionalização, globalização ou europeização ?)</t>
  </si>
  <si>
    <t>003/2012</t>
  </si>
  <si>
    <t>Terezinha Aparecida Guedes</t>
  </si>
  <si>
    <t>Processo de Avaliação Seriada</t>
  </si>
  <si>
    <t>004/2012</t>
  </si>
  <si>
    <t>Ana Beatriz Tozzo Martins</t>
  </si>
  <si>
    <t>Aplicação de modelo binomial a dados de voleibol.</t>
  </si>
  <si>
    <t>005/2012</t>
  </si>
  <si>
    <t>UEL</t>
  </si>
  <si>
    <t>Soraia Kfouri Salerno</t>
  </si>
  <si>
    <t>XI Taller Internacional</t>
  </si>
  <si>
    <t>02/02/2012</t>
  </si>
  <si>
    <t>006/2012</t>
  </si>
  <si>
    <t>Maria Rita Zoéga Soares</t>
  </si>
  <si>
    <t>Participação em Congresso de Psicologia da Saúde</t>
  </si>
  <si>
    <t>007/2012</t>
  </si>
  <si>
    <t>UFPR</t>
  </si>
  <si>
    <t>Alessandro Rolim de Moura</t>
  </si>
  <si>
    <t>Letras e Artes</t>
  </si>
  <si>
    <t>Viagem para participação em eventos</t>
  </si>
  <si>
    <t>008/2012</t>
  </si>
  <si>
    <t>UNIOESTE FOZ</t>
  </si>
  <si>
    <t>Maria Cecília Braz Ribeiro de Souza</t>
  </si>
  <si>
    <t>8º Congresso de Educación Superior: La Universidad por el desarrollo sostenible.</t>
  </si>
  <si>
    <t>01/02/2012</t>
  </si>
  <si>
    <t>009/2012</t>
  </si>
  <si>
    <t>FAG</t>
  </si>
  <si>
    <t>Caroline Scheffer Nogueira</t>
  </si>
  <si>
    <t>8º Congresso Internacional de Educação Superior - Havana - CUBA.</t>
  </si>
  <si>
    <t>011/2011</t>
  </si>
  <si>
    <t>Isabel Jasinski</t>
  </si>
  <si>
    <t>Fronteras y confines: Una expressión nómada em los cuentos de Francisco Ayala.</t>
  </si>
  <si>
    <t>13/02/2012</t>
  </si>
  <si>
    <t>012/2012</t>
  </si>
  <si>
    <t>Maria de Fatima Mantovani</t>
  </si>
  <si>
    <t>Iniciação Cientifica Junior 03/2011</t>
  </si>
  <si>
    <t>Multidisciplinar</t>
  </si>
  <si>
    <t>Programa de Iniciação Científica Junior</t>
  </si>
  <si>
    <t>013/2012</t>
  </si>
  <si>
    <t>UNICENTRO</t>
  </si>
  <si>
    <t>Paulo Roberto da Silva</t>
  </si>
  <si>
    <t>Programa de Bolsas de Iniciação Científica Junior</t>
  </si>
  <si>
    <t>014/2012</t>
  </si>
  <si>
    <t>Marienne do Rocio de Mello Maron da Costa</t>
  </si>
  <si>
    <t>Engenharias</t>
  </si>
  <si>
    <t>Participação no 4º Congresso Português de Argamassas.</t>
  </si>
  <si>
    <t>19/03/2012</t>
  </si>
  <si>
    <t>015/2012</t>
  </si>
  <si>
    <t>Marilia Andrade Torales</t>
  </si>
  <si>
    <t>XIX Jornadas Pedagógicas de Educação Ambiental - ASPEA</t>
  </si>
  <si>
    <t>27/02/2012</t>
  </si>
  <si>
    <t>016/2012</t>
  </si>
  <si>
    <t>Emilio Augusto Coelho Barros</t>
  </si>
  <si>
    <t>Cure Fraction Models Using Mixture and Non-Mixture Models.</t>
  </si>
  <si>
    <t>01/03/2012</t>
  </si>
  <si>
    <t>017/2012</t>
  </si>
  <si>
    <t>Josmar Mazucheli</t>
  </si>
  <si>
    <t>The Lindley Distribution Applied to competing risks lifetime data</t>
  </si>
  <si>
    <t>018/2012</t>
  </si>
  <si>
    <t>Izabel Cristina Piloto Ferreira</t>
  </si>
  <si>
    <t>Ciências da Saúde</t>
  </si>
  <si>
    <t>8th World Meeting on Pharmaceutics, Biopharmaceuticals and Pharmaceutical Technology Instabul/Turkey.</t>
  </si>
  <si>
    <t>019/2012</t>
  </si>
  <si>
    <t>Marcos Luciano Bruschi</t>
  </si>
  <si>
    <t>Apoio a participação e apresentação de trabalho no evento 8th World Meeting on Pharmaceutics, Biopharmaceutics and Pharmaceutical Technology.</t>
  </si>
  <si>
    <t>020/2012</t>
  </si>
  <si>
    <t>Henrique Ortêncio Filho</t>
  </si>
  <si>
    <t>Ciências Biológicas</t>
  </si>
  <si>
    <t>XXIX Congresso Brasileiro de Zoologia</t>
  </si>
  <si>
    <t>021/2012</t>
  </si>
  <si>
    <t>Gilmar Arruda</t>
  </si>
  <si>
    <t>Ciências Sociais, Humanas e Jurídicas</t>
  </si>
  <si>
    <t>Águas da discórdia: O Rio Tibagi e o abastecimento de água potável na cidade de Londrina - 1970-1991.</t>
  </si>
  <si>
    <t>022/2012</t>
  </si>
  <si>
    <t>Marcos Eduardo Ribeiro do Valle Mesquita</t>
  </si>
  <si>
    <t>International Conference on Hybrid Artificial Intelligence Systems.</t>
  </si>
  <si>
    <t>023/2012</t>
  </si>
  <si>
    <t>Fabiano Koich Miguel</t>
  </si>
  <si>
    <t>2012 Society for Personality Assessment Annual Meeting.</t>
  </si>
  <si>
    <t>024/2012</t>
  </si>
  <si>
    <t>UNIOESTE TOLEDO</t>
  </si>
  <si>
    <t>Josiane Caetano Dragunski</t>
  </si>
  <si>
    <t>Química</t>
  </si>
  <si>
    <t>Eletrodo de pasta de carbono modificado com bisftalocianina de itérbio como sensor eletroquímico.</t>
  </si>
  <si>
    <t>05/03/2012</t>
  </si>
  <si>
    <t>025/2012</t>
  </si>
  <si>
    <t>FUNTEF CP</t>
  </si>
  <si>
    <t>Sérgio Augusto Oliveira da Silva</t>
  </si>
  <si>
    <t>Participação em evento com apresentação de trabalhos técnicos-cientificos.</t>
  </si>
  <si>
    <t>026/2012</t>
  </si>
  <si>
    <t>Paulo Cezar Tulio</t>
  </si>
  <si>
    <t>Efecto del agregado de particulas cerámicas em las propriedades de recubrimento de materiales compuestos de matriz metálica ZnNi.</t>
  </si>
  <si>
    <t>027/2012</t>
  </si>
  <si>
    <t>Vanessa de Oliveira Menezes</t>
  </si>
  <si>
    <t>Administração e Economia</t>
  </si>
  <si>
    <t>Participação no 4th Latin American and European Meeting on Organization Studies (4º Encontro Latino Americano e Europeu de Estudos Organizacionais).</t>
  </si>
  <si>
    <t>28/02/2012</t>
  </si>
  <si>
    <t>028/2012</t>
  </si>
  <si>
    <t>Carmen Silvia Vieira Janeiro Neves</t>
  </si>
  <si>
    <t>029/2012</t>
  </si>
  <si>
    <t>UENP CCSA</t>
  </si>
  <si>
    <t>Hiudea Tempesta Rodrigues Boberg</t>
  </si>
  <si>
    <t>Programas Pró-Equipamentos 08/2011</t>
  </si>
  <si>
    <t>Pró-equipamentos - Mestrado Ciência Jurídica</t>
  </si>
  <si>
    <t>12/03/2012</t>
  </si>
  <si>
    <t>030/2012</t>
  </si>
  <si>
    <t>Mário Sérgio Mantovani</t>
  </si>
  <si>
    <t>Melhoria da infraestrutura multiusuária para a pós-graduação da UEL.</t>
  </si>
  <si>
    <t>031/2012</t>
  </si>
  <si>
    <t>Cláudio José de Almeida Mello</t>
  </si>
  <si>
    <t>Equipamentos multiusuários para fortalecimento da pesquisa e da pós-graduação da Unicentro.</t>
  </si>
  <si>
    <t>21/03/2012</t>
  </si>
  <si>
    <t>032/2012</t>
  </si>
  <si>
    <t>Luis Gonçalves Bueno de Camargo</t>
  </si>
  <si>
    <t>Stricto Sensu 11/2011</t>
  </si>
  <si>
    <t>Apoio ao Programa de Pós-Graduação em Letras da Universidade Federal do Paraná.</t>
  </si>
  <si>
    <t>033/2012</t>
  </si>
  <si>
    <t>Alfio Brandenburg</t>
  </si>
  <si>
    <t>Incentivo à produção e pesquisa / Pós-Graduação em Sociologia UFPR.</t>
  </si>
  <si>
    <t>02/04/2012</t>
  </si>
  <si>
    <t>034/2012</t>
  </si>
  <si>
    <t>Cristóvão Vicente Scapulatempo Fernandes</t>
  </si>
  <si>
    <t>Qualidade da água em rios e reservatórios e gestão de recursos hídricos.</t>
  </si>
  <si>
    <t>035/2012</t>
  </si>
  <si>
    <t>Lucélia Donatti</t>
  </si>
  <si>
    <t>Programa de Pós-Graduação em Ecologia e Conservação - UFPR: Proposta de incremento na Qualidade Científica de suas pesquisas.</t>
  </si>
  <si>
    <t>036/2012</t>
  </si>
  <si>
    <t>Luiz Carlos Ribeiro</t>
  </si>
  <si>
    <t>Sentimentos na História</t>
  </si>
  <si>
    <t>037/2012</t>
  </si>
  <si>
    <t>Luiz Humberto Marcolino Junior</t>
  </si>
  <si>
    <t>Estratégias para o crescimento e consolidação do Programa de Pós-Graduação em Química da UFPR.</t>
  </si>
  <si>
    <t>038/2012</t>
  </si>
  <si>
    <t>Luciana Porto de Souza Vandenberghe</t>
  </si>
  <si>
    <t>Programa de apoio à Pós-Graduação em Engenharia de bioprocessos e biotecnologia.</t>
  </si>
  <si>
    <t>039/2012</t>
  </si>
  <si>
    <t>Sylvio Fausto Gil Filho</t>
  </si>
  <si>
    <t>Fortalecimento das redes de pesquisa do Programa de Pós-Graduação de Geografia - UFPR.</t>
  </si>
  <si>
    <t>040/2012</t>
  </si>
  <si>
    <t>Elza Iouko Ida</t>
  </si>
  <si>
    <t>Ciências Agrárias</t>
  </si>
  <si>
    <t>Pesquisa integrada de grupos de pesquisas vinculados ao Programa de Pós-Graduação em Ciência de Alimentos.</t>
  </si>
  <si>
    <t>041/2012</t>
  </si>
  <si>
    <t>Ana Lúcia Dias</t>
  </si>
  <si>
    <t>Apoio ao PPGGBM-UEL para a formação de redes de cooperação.</t>
  </si>
  <si>
    <t>042/2012</t>
  </si>
  <si>
    <t>Cláudio Celestino de Oliveira</t>
  </si>
  <si>
    <t>Apoio financeiro ao Programa de Pós-Graduação em Química da UEM para melhora qualitativa e quantitativa dos indicadores objetivando a elevação para nível internacional (Conceito 6 CAPES).</t>
  </si>
  <si>
    <t>043/2012</t>
  </si>
  <si>
    <t>Márcia Cristina de Costa Trindade Cyrino</t>
  </si>
  <si>
    <t>Recursos multimídias na formação inicial de professores de matemática.</t>
  </si>
  <si>
    <t>044/2012</t>
  </si>
  <si>
    <t>Dauri José Tessmann</t>
  </si>
  <si>
    <t>Consolidação e internacionalização do Programa de Pós-Graduação em Agronomia da Universidade Estadual de Maringá.</t>
  </si>
  <si>
    <t>045/2012</t>
  </si>
  <si>
    <t>Joice Mara Facco Stefanello</t>
  </si>
  <si>
    <t>Possíveis legados esportivos dos jogos Olímpicos e paraolímpicos Rio 2016.</t>
  </si>
  <si>
    <t>28/05/2012</t>
  </si>
  <si>
    <t>046/2012</t>
  </si>
  <si>
    <t>Anibal de Moraes</t>
  </si>
  <si>
    <t>Fortalecimento de redes de cooperação científico-acadêmica do programa de pós-graduação em agronomia-produção vegetal.</t>
  </si>
  <si>
    <t>047/2012</t>
  </si>
  <si>
    <t>Dante Homero Mosca Junior</t>
  </si>
  <si>
    <t>Consolidação do Programa de Pós-Graduação em Engenharia e Ciência dos Materiais.</t>
  </si>
  <si>
    <t>048/2012</t>
  </si>
  <si>
    <t>Wilson Marques Junior</t>
  </si>
  <si>
    <t>Física e Astronomia</t>
  </si>
  <si>
    <t>Apoio ao PPG-Física - UFPR</t>
  </si>
  <si>
    <t>049/2012</t>
  </si>
  <si>
    <t>Edvaldo da Silva Trindade</t>
  </si>
  <si>
    <t>Avaliação de compostos com potencial anti-melanoma.</t>
  </si>
  <si>
    <t>050/2012</t>
  </si>
  <si>
    <t>Flávio de Oliveira Gonçalves</t>
  </si>
  <si>
    <t>Consolidação dos grupos de pesquisa do PPGDE</t>
  </si>
  <si>
    <t>051/2012</t>
  </si>
  <si>
    <t>Paulo Vinicius Baptista da Silva</t>
  </si>
  <si>
    <t>Programa de Pós-Graduação em Educação UFPR</t>
  </si>
  <si>
    <t>052/2012</t>
  </si>
  <si>
    <t>Miguel Daniel Noseda</t>
  </si>
  <si>
    <t>Apoio à manutenção de equipamentos do Programa de Pós-Graduação em Ciências (Bioquímica).</t>
  </si>
  <si>
    <t>053/2012</t>
  </si>
  <si>
    <t>Maria Angélica Haddad</t>
  </si>
  <si>
    <t>Interações científico-acadêmicas em Zoologia.</t>
  </si>
  <si>
    <t>28052012</t>
  </si>
  <si>
    <t>054/2012</t>
  </si>
  <si>
    <t>FUNTEF PR</t>
  </si>
  <si>
    <t>Fabio Kurt Schneider</t>
  </si>
  <si>
    <t>Programa Consolidação e crescimento CPGEI</t>
  </si>
  <si>
    <t>055/2012</t>
  </si>
  <si>
    <t>Amauri Alcindo Alfieri</t>
  </si>
  <si>
    <t>Programa de Pós-Graduação em Ciência Animal / UEL</t>
  </si>
  <si>
    <t>056/2012</t>
  </si>
  <si>
    <t>Pedro Manuel Oliveira Janeiro Neves</t>
  </si>
  <si>
    <t>Programa de Pós-Graduação em Agronomia da UEL</t>
  </si>
  <si>
    <t>057/2012</t>
  </si>
  <si>
    <t>Antonio Medina Neto</t>
  </si>
  <si>
    <t>Consolidação e fortalecimento das linhas de pesquisa do Programa de Pós-Graduação em Física da Universidade Estadual de Maringá.</t>
  </si>
  <si>
    <t>058/2012</t>
  </si>
  <si>
    <t>Antonio Ferriani Branco</t>
  </si>
  <si>
    <t>Fortalecimento Programa PPZ</t>
  </si>
  <si>
    <t>059/2012</t>
  </si>
  <si>
    <t>Luciane Marinoni</t>
  </si>
  <si>
    <t>Consolidação da internacionalização do Programa de Pós-Graduação em Entomologia-UFPR</t>
  </si>
  <si>
    <t>060/2012</t>
  </si>
  <si>
    <t>FUNTEF PB</t>
  </si>
  <si>
    <t>Henrique Emilio Zorel Junior</t>
  </si>
  <si>
    <t>Congresso Brasileiro de Análise Térmica e Calorimetria.</t>
  </si>
  <si>
    <t>061/2012</t>
  </si>
  <si>
    <t>Marlene Regina Marchiori</t>
  </si>
  <si>
    <t>14th Conference of the International Association for Dialogue Analysis.</t>
  </si>
  <si>
    <t>062/2012</t>
  </si>
  <si>
    <t>APC/PUC-PR</t>
  </si>
  <si>
    <t>Rodrigo José Firmino</t>
  </si>
  <si>
    <t>Arquitetura e Urbanismo</t>
  </si>
  <si>
    <t>I see you but dont't see me! The apread of CCTV in Brazil: Legislation, debate and market.</t>
  </si>
  <si>
    <t>063/2012</t>
  </si>
  <si>
    <t>UNIOESTE RONDON</t>
  </si>
  <si>
    <t>José Carlos Mendes</t>
  </si>
  <si>
    <t>Participação no XIV Congresso Ciências do Desporto e Educação Física dos paises de Língua Portuguesa acontecerá em 2012.</t>
  </si>
  <si>
    <t>23/03/2012</t>
  </si>
  <si>
    <t>064/2012</t>
  </si>
  <si>
    <t>Andreia Gerniski Macedo</t>
  </si>
  <si>
    <t>Fisica e Astronomia</t>
  </si>
  <si>
    <t>Participação em evento: 2012 Materials Research Society Spring Meeting.</t>
  </si>
  <si>
    <t>26/03/2012</t>
  </si>
  <si>
    <t>065/2012</t>
  </si>
  <si>
    <t>Luis Carlos Erpen De Bona</t>
  </si>
  <si>
    <t>13th IEEE Latin American Test Workshop (LATW2012).</t>
  </si>
  <si>
    <t>066/2012</t>
  </si>
  <si>
    <t>Gisele Maria de Andrade de Nobrega</t>
  </si>
  <si>
    <t>Evaluation on mycrocistin biodegradation by wild yeasts for application in water treatment.</t>
  </si>
  <si>
    <t>067/2012</t>
  </si>
  <si>
    <t>Norma da Luz Ferrarini</t>
  </si>
  <si>
    <t>XIX Congresso INFAD</t>
  </si>
  <si>
    <t>04/04/2012</t>
  </si>
  <si>
    <t>068/2012</t>
  </si>
  <si>
    <t>UNIOESTE CASCAVEL</t>
  </si>
  <si>
    <t>Ana Maria de Sousa Santana de Oliveira</t>
  </si>
  <si>
    <t>4º Congresso de Patologia e reabilitação de edifícios.</t>
  </si>
  <si>
    <t>069/2012</t>
  </si>
  <si>
    <t>Eduardo Cunha de Almeida</t>
  </si>
  <si>
    <t>Peer-to-peer Load Testing</t>
  </si>
  <si>
    <t>09/04/2012</t>
  </si>
  <si>
    <t>070/2012</t>
  </si>
  <si>
    <t>Edwin Ricardo Pitre Vásquez</t>
  </si>
  <si>
    <t>X Congreso de la Asociación Internacional para el Estudio de la Música Popular Rama Latinoamericana.</t>
  </si>
  <si>
    <t>071/2012</t>
  </si>
  <si>
    <t>Clairce Luzia Salgueiro Padadigorria</t>
  </si>
  <si>
    <t>The liver redox status in na animal model of estrogen deficiency associated with renovascular hypertension and the beneficial effects of tibolone.</t>
  </si>
  <si>
    <t>28/03/2012</t>
  </si>
  <si>
    <t>072/2012</t>
  </si>
  <si>
    <t>Eneri Vieira de Souza Leite Mello</t>
  </si>
  <si>
    <t>VIII Simpósio Brasileiro de Farmacognosia e I International Symposium of Pharmacognosy.</t>
  </si>
  <si>
    <t>073/2012</t>
  </si>
  <si>
    <t>João Carlos Palazzo de Mello</t>
  </si>
  <si>
    <t>074/2012</t>
  </si>
  <si>
    <t>Débora da Silva Lobo</t>
  </si>
  <si>
    <t>23rn Annual POMS Conference</t>
  </si>
  <si>
    <t>22/03/2012</t>
  </si>
  <si>
    <t>075/2012</t>
  </si>
  <si>
    <t>Ubiratã Tortato</t>
  </si>
  <si>
    <t>077/2012</t>
  </si>
  <si>
    <t>Adriano Doff Sotta Gomes</t>
  </si>
  <si>
    <t>Participação em Evento Científico.</t>
  </si>
  <si>
    <t>078/2012</t>
  </si>
  <si>
    <t>Neide Kazue Kuromoto</t>
  </si>
  <si>
    <t>Conferência internacional sobre revestimentos metalúrgicos e filmes finos.</t>
  </si>
  <si>
    <t>16/04/2012</t>
  </si>
  <si>
    <t>079/2012</t>
  </si>
  <si>
    <t>Victor Francisco Araya Santander</t>
  </si>
  <si>
    <t>Apresentação de trabalho científico.</t>
  </si>
  <si>
    <t>080/2012</t>
  </si>
  <si>
    <t>Sonia Mari Shima Barroco</t>
  </si>
  <si>
    <t>Apresentação de trabalho em evento internacional da ULAPSI.</t>
  </si>
  <si>
    <t>081/2012</t>
  </si>
  <si>
    <t>Ana Paula Perfetto Demarchi</t>
  </si>
  <si>
    <t>2º Congreso Internacional de Diseno Innovacion de Cataluña.</t>
  </si>
  <si>
    <t>082/2012</t>
  </si>
  <si>
    <t>Cleuza Fornasier</t>
  </si>
  <si>
    <t>083/2012</t>
  </si>
  <si>
    <t>Maria Cristina Solci</t>
  </si>
  <si>
    <t>Organização de Eventos 01/2012</t>
  </si>
  <si>
    <t>VI Encontro Nacional de Química Ambiental</t>
  </si>
  <si>
    <t>16/03/2012</t>
  </si>
  <si>
    <t>084/2012</t>
  </si>
  <si>
    <t>Pedro Luis Navarro Barbosa</t>
  </si>
  <si>
    <t>Linguística, Letras e Artes</t>
  </si>
  <si>
    <t>2a. JIED – Jornada Internacional de Estudos do Discurso</t>
  </si>
  <si>
    <t>085/2012</t>
  </si>
  <si>
    <t>Mauro Antonio da Silva Sá Ravagnani</t>
  </si>
  <si>
    <t>Programa Pró-Equipamentos - 2011 - UEM - Fundação Araucária</t>
  </si>
  <si>
    <t>086/2012</t>
  </si>
  <si>
    <t>IBMP</t>
  </si>
  <si>
    <t>Samuel Goldenberg</t>
  </si>
  <si>
    <t>Apoio à infraestrutura das salas de equipamentos multi-usuários do Instituto Carlos Chagas.</t>
  </si>
  <si>
    <t>02/05/2012</t>
  </si>
  <si>
    <t>087/2012</t>
  </si>
  <si>
    <t>TECPAR</t>
  </si>
  <si>
    <t>Daniele Cristina Adão</t>
  </si>
  <si>
    <t>5º Congresso da Rede Brasileira de Tecnologia de Biodiesel /8º Congresso Brasileiro de Plantas Oleaginosas, Óleos, Gorduras e Biodiesel.</t>
  </si>
  <si>
    <t>088/2012</t>
  </si>
  <si>
    <t>Gilmar de Carvalho Cruz</t>
  </si>
  <si>
    <t>Bolsas de Pós-Doutorado 16/2011</t>
  </si>
  <si>
    <t xml:space="preserve">A educação Especial no contexto da Educação Inclusiva: análise do atendimento educacional especializado no sistema público de ensino do Estado do Paraná </t>
  </si>
  <si>
    <t>089/2012</t>
  </si>
  <si>
    <t xml:space="preserve">Eladio Constantino </t>
  </si>
  <si>
    <t>O estatuto ontológico do virtual na filosofia de gilles deleuze</t>
  </si>
  <si>
    <t>091/2012</t>
  </si>
  <si>
    <t>Elaine Fernandes Mateus</t>
  </si>
  <si>
    <t>Práticas colaborativas de (trans)formação de professores/as: um olhar sob as lentes da Análise de Discurso Crítica</t>
  </si>
  <si>
    <t>092/2012</t>
  </si>
  <si>
    <t>Sandra Odebrecht Vargas Nunes</t>
  </si>
  <si>
    <t>Ciência e Saúde</t>
  </si>
  <si>
    <t>Análise de marcadores Inflamatórios em fumantes depressivos, náo depressivos e em diferentes gêneros de um Centro de Referência em Abordagem de Tratamento do Tabagismo</t>
  </si>
  <si>
    <t>093/2012</t>
  </si>
  <si>
    <t>Roberto Antonio Deitos</t>
  </si>
  <si>
    <t>Estado e Política Pública de Educação Profissional: os motivos socioeconômicos e políticos e as razões educacionais e teórico-ideológicas da política educacional paranaense</t>
  </si>
  <si>
    <t>094/2012</t>
  </si>
  <si>
    <t>Clovis Ultramari</t>
  </si>
  <si>
    <t>Bolsa se Pós-doutoramento: Das potencialidades paradoxais emergentes de acidentes naturais em áreas urbanas: uma investigação a partir de procedimentos de agências internacionais de socorro</t>
  </si>
  <si>
    <t>adtv</t>
  </si>
  <si>
    <t>095/2012</t>
  </si>
  <si>
    <t>FUNTEF PG</t>
  </si>
  <si>
    <t>Luis Mauricio Martins de Resende</t>
  </si>
  <si>
    <t>Desafios na formação do engenheiro: um estudo comparativo entre França e Brasil</t>
  </si>
  <si>
    <t>096/2012</t>
  </si>
  <si>
    <t>Laura Misue Matsuda</t>
  </si>
  <si>
    <t>Ciência da Saúde</t>
  </si>
  <si>
    <t>Utilizando a Tecnologia Computacional no Trabalho: Percepção de Enfermeiros</t>
  </si>
  <si>
    <t>097/2012</t>
  </si>
  <si>
    <t>Núbio Delanne Ferraz Mafra</t>
  </si>
  <si>
    <t xml:space="preserve">Letramento digital, ensino de Língua Portuguesa e pesquisas de intervenção </t>
  </si>
  <si>
    <t>098/2012</t>
  </si>
  <si>
    <t>Marcos Antonio Quinaia</t>
  </si>
  <si>
    <t>Seleção e Avaliação de Conjuntos de Teste para linha de Produto de Software</t>
  </si>
  <si>
    <t>099/2012</t>
  </si>
  <si>
    <t>Claudia Maria Barbosa</t>
  </si>
  <si>
    <t>Judicialização da política e decisões sobre políticas públicas: quais são os limites do Poder Judiciário?</t>
  </si>
  <si>
    <t>100/2012</t>
  </si>
  <si>
    <t>Elisa Yoshie Ichikawa</t>
  </si>
  <si>
    <t>Sustentabilidade: produção de sentidos e processos de institucionalização</t>
  </si>
  <si>
    <t>101/2012</t>
  </si>
  <si>
    <t>UEPG</t>
  </si>
  <si>
    <t>Luis Augusto Trevisan</t>
  </si>
  <si>
    <t>XII Hadron Physics</t>
  </si>
  <si>
    <t>102/2012</t>
  </si>
  <si>
    <t>Bolsa Sênior 10-2011</t>
  </si>
  <si>
    <t>Formação de pesquisadores junto ao Programa de Pós-Graduação em Psicologia - PPI/UEM - Período 2012-2014</t>
  </si>
  <si>
    <t>103/2012</t>
  </si>
  <si>
    <t>Maria de Fátima Pires da Silva Machado</t>
  </si>
  <si>
    <t>Revitalização da linha de Pesquisa em Genética Animal do Programa de Pós-Graduação em Genética e Melhoramento.</t>
  </si>
  <si>
    <t>104/2012</t>
  </si>
  <si>
    <t>Selma Maffei de Andrade</t>
  </si>
  <si>
    <t>Bolsa Professor Sênior Saúde Coletiva</t>
  </si>
  <si>
    <t>105/2012</t>
  </si>
  <si>
    <t>Bolsa para professor Sênior - PECEM/UEL</t>
  </si>
  <si>
    <t>106/2012</t>
  </si>
  <si>
    <t>Mariluci Alves Maftum</t>
  </si>
  <si>
    <t>Efeitos da fragilidade em idosos longevos da comunidade.</t>
  </si>
  <si>
    <t>107/2012</t>
  </si>
  <si>
    <t>Marilda Gonçalves Dias Facci</t>
  </si>
  <si>
    <t>Apresentação de trabalho em evento.</t>
  </si>
  <si>
    <t>108/2012</t>
  </si>
  <si>
    <t>UNIOESTE BELTRÃO</t>
  </si>
  <si>
    <t>Mafalda Nesi Francischett</t>
  </si>
  <si>
    <t>4º Seminário Nacional Interdisciplinar em Experiências Educativas - IV - SENIEE</t>
  </si>
  <si>
    <t>109/2012</t>
  </si>
  <si>
    <t>Ana Cláudia Duarte Pinheiro</t>
  </si>
  <si>
    <t>I Simpósio Orçamento Público e Políticas Sociais.</t>
  </si>
  <si>
    <t>110/2012</t>
  </si>
  <si>
    <t>Roseli Alves dos Santos</t>
  </si>
  <si>
    <t>Geociências</t>
  </si>
  <si>
    <t>V Seminário Estadual de Estudos Territoriais</t>
  </si>
  <si>
    <t>111/2012</t>
  </si>
  <si>
    <t>Gustavo Adolfo Ramos Mello Neto</t>
  </si>
  <si>
    <t>I Encontro Brasileiro de Psicanálise e Sedução Generalizada.</t>
  </si>
  <si>
    <t>112/2012</t>
  </si>
  <si>
    <t>Verônica Regina Muller</t>
  </si>
  <si>
    <t>I Congresso Internacional de Estudos da Criança de Língua Portuguesa e X Semana Criança Cidadã.</t>
  </si>
  <si>
    <t>113/2012</t>
  </si>
  <si>
    <t>IFL UNIFIL</t>
  </si>
  <si>
    <t>Andrea Berger</t>
  </si>
  <si>
    <t>V Congresso de Psicologia da Unifil</t>
  </si>
  <si>
    <t>114/2012</t>
  </si>
  <si>
    <t>Cleverson Flor da Rosa</t>
  </si>
  <si>
    <t>I Seminário de Empreendedorismo e Inovação - VI Feira da Idéia.</t>
  </si>
  <si>
    <t>115/2012</t>
  </si>
  <si>
    <t>FECILCAM</t>
  </si>
  <si>
    <t>Cristina Satiê de Oliveira Pátaro</t>
  </si>
  <si>
    <t>III Colóquio Nacional Cultura e Poder: Instituições e sociabilidades.</t>
  </si>
  <si>
    <t>116/2012</t>
  </si>
  <si>
    <t>Tulio Oliveira de Carvalho</t>
  </si>
  <si>
    <t>II Colóquio de Matemática da RegiãoSul</t>
  </si>
  <si>
    <t>05/04/2012</t>
  </si>
  <si>
    <t>117/2012</t>
  </si>
  <si>
    <t>Juliane Sachser Angnes</t>
  </si>
  <si>
    <t>I Seminário de Estudos em Secretariado Executivo</t>
  </si>
  <si>
    <t>118/2012</t>
  </si>
  <si>
    <t>Edgar Manuel Carreno Franco</t>
  </si>
  <si>
    <t>Seminário : Presente e futuro das redes inteligentes nos sistemas brasileiros de distribuição e transmissão de energia elétrica.</t>
  </si>
  <si>
    <t>119/2012</t>
  </si>
  <si>
    <t>Sheila Maria Rosin</t>
  </si>
  <si>
    <t>Encontro dos Grupos PET da região sul "SulPET 15 anos: (Re) construindo identidades".</t>
  </si>
  <si>
    <t>18/04/2012</t>
  </si>
  <si>
    <t>120/2012</t>
  </si>
  <si>
    <t>UNIOESTE REITORIA</t>
  </si>
  <si>
    <t>Cárliton Vieira dos Santos</t>
  </si>
  <si>
    <t>Estruturação, fortalecimento, consolidação e modernização dos Programas de Pós-Graduação Stricto Sensu da UNIOESTE.</t>
  </si>
  <si>
    <t>122/2012</t>
  </si>
  <si>
    <t>José Milton Andriguetto Filho</t>
  </si>
  <si>
    <t>Auxílio para a participação no Sexto Congresso Mundial de Pesca.</t>
  </si>
  <si>
    <t>123/2012</t>
  </si>
  <si>
    <t>Marcos Tadeu de Oliveira Pimenta</t>
  </si>
  <si>
    <t>Spring School in Nonlinear Partial Differential Equations</t>
  </si>
  <si>
    <t>124/2012</t>
  </si>
  <si>
    <t>André Celligoi</t>
  </si>
  <si>
    <t>International Conference on Groundwater in Fractured Rocks</t>
  </si>
  <si>
    <t>125/2012</t>
  </si>
  <si>
    <t>Tânia Longo Mazzuco</t>
  </si>
  <si>
    <t>Apresentação de trabalho no Congresso Internacional de Endocrinologia.</t>
  </si>
  <si>
    <t>126/2012</t>
  </si>
  <si>
    <t>Carla Cecília Rodrigues Almeida</t>
  </si>
  <si>
    <t>Participação em evento científico XXX Congresso LASA.</t>
  </si>
  <si>
    <t>127/2012</t>
  </si>
  <si>
    <t>Luzmarina Hernandes</t>
  </si>
  <si>
    <t>Solicitação de auxílio financeiro para apresentação de trabalho no 19th European Congresso on Obesity (ECO2012) - Lyon, França no período de 09 a 12 de maio de 2012.</t>
  </si>
  <si>
    <t>128/2012</t>
  </si>
  <si>
    <t>Neide Garcia Pinheiro</t>
  </si>
  <si>
    <t>Participação em Conferência da Association for Canadian Studies in Ireland.XVI th Biennial Conference: Canada: Landmarks and Landscapes.</t>
  </si>
  <si>
    <t>129/2012</t>
  </si>
  <si>
    <t>IAPAR</t>
  </si>
  <si>
    <t>Jadir Aparecido Rosa</t>
  </si>
  <si>
    <t>I INOVAGRI International Meeting e IV WINOTEC - Workshop de Inovações Tecnológicas na Irrigação.</t>
  </si>
  <si>
    <t>130/2012</t>
  </si>
  <si>
    <t>Edilson Serpeloni Cyrino</t>
  </si>
  <si>
    <t>IV Congresso Brasileiro de Metabolismo, Nutrição e Exercício.</t>
  </si>
  <si>
    <t>131/2012</t>
  </si>
  <si>
    <t>Maria Elisa Wotzasek Cestari</t>
  </si>
  <si>
    <t>Simpósio 40 Anos do Curso de Enfermagem da UEL: Em busca da excelência no cuidar.</t>
  </si>
  <si>
    <t>132/2012</t>
  </si>
  <si>
    <t>Verônica Bender Haydu</t>
  </si>
  <si>
    <t>II Congresso de Psicologia e análise do comportamento: Novos rumos para pesquisa e intervenção (CPAC); VI Encontro Paranaense de Análise do Comportamento (EPAC).</t>
  </si>
  <si>
    <t>133/2012</t>
  </si>
  <si>
    <t>APP</t>
  </si>
  <si>
    <t>Darci Vieira da Silva Bonetto</t>
  </si>
  <si>
    <t>IV Jornada Multidisciplinar de Doenças de Inverno</t>
  </si>
  <si>
    <t>134/2012</t>
  </si>
  <si>
    <t>SPC</t>
  </si>
  <si>
    <t>Lidia Zytynski Moura</t>
  </si>
  <si>
    <t>39º Congresso Paranaense de Cardiologia</t>
  </si>
  <si>
    <t>135/2012</t>
  </si>
  <si>
    <t>FUNTEF CM</t>
  </si>
  <si>
    <t>Eudes José Arantes</t>
  </si>
  <si>
    <t>III Simpósio Ambiental da Universidade Tecnológica Federal do Paraná e VII Semana de Meio Ambiente da Universidade Tecnológica Federal do Paraná.</t>
  </si>
  <si>
    <t>136/2012</t>
  </si>
  <si>
    <t>Jane Maria de Abreu Drewinski</t>
  </si>
  <si>
    <t>II SEDIUNI - Simpósio de Educação Infantil da Unicentro</t>
  </si>
  <si>
    <t>137/2012</t>
  </si>
  <si>
    <t>Cláudio Cesar de Andrade</t>
  </si>
  <si>
    <t>VII Congresso Internacional de Filosofia da UNICENTRO: Discursos sobre política.</t>
  </si>
  <si>
    <t>138/2012</t>
  </si>
  <si>
    <t>Rosângela Célia Faustino</t>
  </si>
  <si>
    <t>XI Seminário de Pesquisa do Programa de Pós-Graduação em Educação.</t>
  </si>
  <si>
    <t>139/2012</t>
  </si>
  <si>
    <t>Maria Cláudia Colla Ruvolo Takasusuki</t>
  </si>
  <si>
    <t>XI Encontro Paranaense de Genética</t>
  </si>
  <si>
    <t>141/2012</t>
  </si>
  <si>
    <t>Marli Roesler</t>
  </si>
  <si>
    <t>I Seminário de Direitos Humanos e XX Semana Acadêmica do Curso de Serviço Social.</t>
  </si>
  <si>
    <t>142/2012</t>
  </si>
  <si>
    <t>Alexandre Sebastião Ferrari Soares</t>
  </si>
  <si>
    <t>I Seminário Internacional de Estudos da Linguagem (VI Seminário, III Nacional) - Políticas Linguísticas: Diálogos, identidades e fronteiras.</t>
  </si>
  <si>
    <t>143/2012</t>
  </si>
  <si>
    <t>Gustavo André Borges</t>
  </si>
  <si>
    <t>Simpósio Paranaense de Educação Física, Esporte e Lazer.</t>
  </si>
  <si>
    <t>144/2012</t>
  </si>
  <si>
    <t>FUNDETEC</t>
  </si>
  <si>
    <t>Ortência Leocádia Gonzalez da Silva Nunes</t>
  </si>
  <si>
    <t>Tecnologias Agroindustriais - Potencialidades do Oeste do Paraná.</t>
  </si>
  <si>
    <t>145/2012</t>
  </si>
  <si>
    <t>UENP CP</t>
  </si>
  <si>
    <t>Vanderléia da Silva Oliveira</t>
  </si>
  <si>
    <t>III Encontro de Estudos Literários e Literatura Brasileira Contemporânea do Norte do Paraná - ENELIT</t>
  </si>
  <si>
    <t>146/2012</t>
  </si>
  <si>
    <t>IFPR</t>
  </si>
  <si>
    <t>Carmen Ballão Watanabe</t>
  </si>
  <si>
    <t>03-2011 - Iniciação Cientifica Junior</t>
  </si>
  <si>
    <t>Programa Institucional de Bolsa de Iniciação Científica Junior do IFPR.</t>
  </si>
  <si>
    <t>147/2012</t>
  </si>
  <si>
    <t>Andrei Aleksandrovich Bytsenko</t>
  </si>
  <si>
    <t>XXXI Workshop on Geometric Methods in Physics</t>
  </si>
  <si>
    <t>148/2012</t>
  </si>
  <si>
    <t>Maria Luiza Marinho Casanova</t>
  </si>
  <si>
    <t>Participação na IV International Conference of Community Psychology.</t>
  </si>
  <si>
    <t>149/2012</t>
  </si>
  <si>
    <t>Juliana Bayeux Dascal</t>
  </si>
  <si>
    <t>2012 NASPSPA Conference</t>
  </si>
  <si>
    <t>150/2012</t>
  </si>
  <si>
    <t>Luiz E. S. Oliveira</t>
  </si>
  <si>
    <t>Participação IJCNN</t>
  </si>
  <si>
    <t>152/2012</t>
  </si>
  <si>
    <t>Poliana Fabiula Cardozo</t>
  </si>
  <si>
    <t>Tourism, roads and Cultural Itineraries: Meaning, Memorie and Development.</t>
  </si>
  <si>
    <t>153/2012</t>
  </si>
  <si>
    <t>Carlos Herold Junior</t>
  </si>
  <si>
    <t>Apresentação do trabalho no 34. ISCHE.</t>
  </si>
  <si>
    <t>154/2012</t>
  </si>
  <si>
    <t>EMBAP</t>
  </si>
  <si>
    <t>Mario da Silva Junior</t>
  </si>
  <si>
    <t>New York Gutiar Seminar at Mannes.</t>
  </si>
  <si>
    <t>155/2012</t>
  </si>
  <si>
    <t>Laise da Silveira Pontes</t>
  </si>
  <si>
    <t>24ª Assembléia Geral da Federação Européia de Pastagens.</t>
  </si>
  <si>
    <t>156/2012</t>
  </si>
  <si>
    <t>Sérgio Ruffo Roberto</t>
  </si>
  <si>
    <t>Participação no 35th Congress of Vine and Wine</t>
  </si>
  <si>
    <t>157/2012</t>
  </si>
  <si>
    <t>Leandro Redin Vestena</t>
  </si>
  <si>
    <t>Seminário da Pós-Graduação em Geografia da UNICENTRO - Transformações Territoriais: A Geografia no cenário atual (Semana Comemorativa: 20 Anos de PET Geografia).</t>
  </si>
  <si>
    <t>158/2012</t>
  </si>
  <si>
    <t>Marquiana de Freitas Vilas Boas Gomes</t>
  </si>
  <si>
    <t>1ª Jornada Ambiental de Guarapuava e Região</t>
  </si>
  <si>
    <t>159/2012</t>
  </si>
  <si>
    <t>Fábio Duarte de Araújo Silva</t>
  </si>
  <si>
    <t>Transportes e mobilidade desafios para a governança metropolitana.</t>
  </si>
  <si>
    <t>160/2012</t>
  </si>
  <si>
    <t>Luciano Augusto Lourençato</t>
  </si>
  <si>
    <t>2ª Jornada Brasileira do Grupo de Pesquisa Euro-latino-americano - M2Real - Matemática do Mundo Real.</t>
  </si>
  <si>
    <t>161/2012</t>
  </si>
  <si>
    <t>Marion Burger</t>
  </si>
  <si>
    <t>VI Jornada Paranaense de Infectologia Pediátrica</t>
  </si>
  <si>
    <t>162/2012</t>
  </si>
  <si>
    <t>Lenamar Florese Vieira</t>
  </si>
  <si>
    <t>I Congresso Internacional de Psicologia do Esporte e do Exercício.</t>
  </si>
  <si>
    <t>163/2012</t>
  </si>
  <si>
    <t>Alice Áurea Penteado Martha</t>
  </si>
  <si>
    <t>II Colóquio Internacional de Estudos Linguísticos e Literários (II CIELLI) e V Colóquio de Estudos Linguísticos e Literários (V CELLI).</t>
  </si>
  <si>
    <t>164/2012</t>
  </si>
  <si>
    <t>Martha Daisson Hameister</t>
  </si>
  <si>
    <t>IX Jornada Setecentista, I Jornada Setecentista: Nova geração e I Ciclo de Conferências Setecentistas.</t>
  </si>
  <si>
    <t>166/2012</t>
  </si>
  <si>
    <t>Paulo Vitor Farago</t>
  </si>
  <si>
    <t>VI Simpósio Iberoamericano de Plantas Medicinais</t>
  </si>
  <si>
    <t>167/25012</t>
  </si>
  <si>
    <t>Fernando Pereira dos Santos</t>
  </si>
  <si>
    <t>VI Congresso Multiprofissional em Saúde - Enigmas da Dor</t>
  </si>
  <si>
    <t>168/2012</t>
  </si>
  <si>
    <t>FAP</t>
  </si>
  <si>
    <t>Zeloi Aparecida Martins dos Santos</t>
  </si>
  <si>
    <t>7º Seminário de Pesquisa em Artes.</t>
  </si>
  <si>
    <t>169/2012</t>
  </si>
  <si>
    <t>Antônio Donizeti da Cruz</t>
  </si>
  <si>
    <t>15ª Jornada Internacional de Estudos Linguísticos e Literários - Literatura, Linguagem e Multiculturalismo - Veredas do imaginário e cartografias da Memória.</t>
  </si>
  <si>
    <t>170/2012</t>
  </si>
  <si>
    <t>Viviane Sandra Alves</t>
  </si>
  <si>
    <t>III SICON e VI EBIC.</t>
  </si>
  <si>
    <t>172/2012</t>
  </si>
  <si>
    <t>Carlos Cesar Garcia de Freitas</t>
  </si>
  <si>
    <t>05-2011 - Pesquisa Básica e Aplicada</t>
  </si>
  <si>
    <t>Tecnologia Social e Desenvolvimento Sustentável - um estudo sobre a ótica da Teoria Crítica da Tecnologia e da Construção Social da Tecnologia</t>
  </si>
  <si>
    <t>173/2012</t>
  </si>
  <si>
    <t>Valdemir Antoneli</t>
  </si>
  <si>
    <t>Transferência de sedimentos da vertente para o canal fluvial em cabeceiras de drenagem ocupadas pelo cultivo de tabaco no Município de Irati-PR</t>
  </si>
  <si>
    <t>174/2012</t>
  </si>
  <si>
    <t>Tania Toyomi Tominaga</t>
  </si>
  <si>
    <t>Porfirina monocatiônica meso-3 metil-mono-piridil (trifenil) nanoencapsulada: Caracterização química e biológica para potencial utilização em Terapia Fotodinâmica</t>
  </si>
  <si>
    <t>175/2012</t>
  </si>
  <si>
    <t>Juliano Tadeu Vilela de Resende</t>
  </si>
  <si>
    <t>Obtenção de linhagens avançadas de tomateiro “rasteiro” com elevados teores de acil-açúcares resistentes a artrópodos-praga</t>
  </si>
  <si>
    <t>176/2012</t>
  </si>
  <si>
    <t>Rubiana Mara Mainardes</t>
  </si>
  <si>
    <t>Avaliação da eficácia e toxicidade de nanopartículas poliméricas contendo Anfotericina B</t>
  </si>
  <si>
    <t>177/2012</t>
  </si>
  <si>
    <t>Waldir Nagel Schirmer</t>
  </si>
  <si>
    <t>Avaliação de compostos tóxico/odorantes presentes no biogás gerado em biorreator a partir de resíduos sólido urbanos (RSU)</t>
  </si>
  <si>
    <t>178/2012</t>
  </si>
  <si>
    <t>Marcus Peikriszwili Tartaruga</t>
  </si>
  <si>
    <t>Ajuste alométrico na força muscular de membros inferiores</t>
  </si>
  <si>
    <t>179/2012</t>
  </si>
  <si>
    <t>Mauricio Camargo Filho</t>
  </si>
  <si>
    <t>O significado paleoambiental de material turfoso presente no reverso da Escarpa da Esperança – Guarapuava – PR</t>
  </si>
  <si>
    <t>180/2012</t>
  </si>
  <si>
    <t>Marcos Ventura Faria</t>
  </si>
  <si>
    <t>Seleção de novas linhagens de milho com aptidão para a produção de grãos e/ou de forragem avaliadas em cruzamentos topcrosses</t>
  </si>
  <si>
    <t>181/2012</t>
  </si>
  <si>
    <t>Edivaldo Lopes Thomaz</t>
  </si>
  <si>
    <t>Influência do fogo nos processos hidrológicos e geomorfolpogicos em solosubtropical</t>
  </si>
  <si>
    <t>182/2012</t>
  </si>
  <si>
    <t>Atlas Ambiental Escolar de Guarapuava - PR</t>
  </si>
  <si>
    <t>183/2012</t>
  </si>
  <si>
    <t>Sergio Toshio Fujiwara</t>
  </si>
  <si>
    <t>Degradação de efluentes industriais utilizando argila bentonita/Fe imobilizada em placas de vidro</t>
  </si>
  <si>
    <t>184/2012</t>
  </si>
  <si>
    <t>Impactos da urbanização na dinâmica hidrológica e na morfologia da rede hidrográfica em Guarapuava/PR</t>
  </si>
  <si>
    <t>185/2012</t>
  </si>
  <si>
    <t>Jackson Kawakami</t>
  </si>
  <si>
    <t>Produção e avaliação de batata semente através de brotos para o cultivo orgânico na região Centro Sul do Paraná</t>
  </si>
  <si>
    <t>186/2012</t>
  </si>
  <si>
    <t>Luciano Farinha Watzlawick</t>
  </si>
  <si>
    <t>Resiliência em Sistemas Faxinais: Respostas da vegetação às pertubações antrópicas e às condições ambientais</t>
  </si>
  <si>
    <t>187/2012</t>
  </si>
  <si>
    <t>Carolina Paula de Almeida</t>
  </si>
  <si>
    <t>Técnicas de Computação Paralela Aplicadas a Algoritmos Evolucionários Multiobjetivo para Problemas de Otimização Combinatória</t>
  </si>
  <si>
    <t>188/2012</t>
  </si>
  <si>
    <t>Márcia da Silva</t>
  </si>
  <si>
    <t>Os S Suábios do Danúbio: grupos de poder, segregação e cooperação no desenvolvimento do Centro-Sul do Paraná</t>
  </si>
  <si>
    <t>189/2012</t>
  </si>
  <si>
    <t>Carine Teles Sangaleti Miyahara</t>
  </si>
  <si>
    <t>Desenvolvimento de curativo a base de argila para uso em feridas crônicas</t>
  </si>
  <si>
    <t>190/2012</t>
  </si>
  <si>
    <t>Maico Taras da Cunha</t>
  </si>
  <si>
    <t>Microbalança de quartzo rotativa aplicada a estudos de eletrodeposição metálica</t>
  </si>
  <si>
    <t>191/2012</t>
  </si>
  <si>
    <t>Antônio Carlos Efing</t>
  </si>
  <si>
    <t>Análise crítica do Direito das relações de consumo e questões tecnológicas</t>
  </si>
  <si>
    <t>192/2012</t>
  </si>
  <si>
    <t>Pedro Vicente Michelotto Júnior</t>
  </si>
  <si>
    <t>Terapia com Células-Tronco Mesenquimais Derivadas de Medula Óssea Humana e Murina em Modelo Experimental de Asma Aguda</t>
  </si>
  <si>
    <t>193/2012</t>
  </si>
  <si>
    <t>Carlos Alberto Mayora Aita</t>
  </si>
  <si>
    <t>Análise por Citometria de Fluxo da Expressão do RNAm das Proteínas Virais E6 e E7 do Papilomavírus Humano (HPV) de Alto Risco Oncogênico, em Escovados Cervicais de Mulheres Co-Infectadas HPV/HIV-1</t>
  </si>
  <si>
    <t>194/2012</t>
  </si>
  <si>
    <t>Denis Alcides Rezende</t>
  </si>
  <si>
    <t>Cidade Digital Estratégica: formas e modelos de implantação em municípios e prefeituras</t>
  </si>
  <si>
    <t>195/2012</t>
  </si>
  <si>
    <t>Cidade Ampliada, Tecnologias Infiltradas: Territorialidades da Vigilância na Cidade Contemporânea</t>
  </si>
  <si>
    <t>196/2012</t>
  </si>
  <si>
    <t>Viviana Cocco Mariani</t>
  </si>
  <si>
    <t>Solução de Problemas Térmicos via Dinâmica dos Fluidos Computacional e Metaheurísticas</t>
  </si>
  <si>
    <t>197/2012</t>
  </si>
  <si>
    <t>Paula Cristina Trevilatto</t>
  </si>
  <si>
    <t>Avaliação da expressão e metilação dos genes DAPPER1 e DAPPER2, inibidores da via Wnt, na progressão do câncer bucal</t>
  </si>
  <si>
    <t>198/2012</t>
  </si>
  <si>
    <t>Henrique Ravanhol Frigeri</t>
  </si>
  <si>
    <t>Variabilidade Genética Associada ao Diabetes mellitus e à Obesidade.</t>
  </si>
  <si>
    <t>199/2012</t>
  </si>
  <si>
    <t>Claudia Turra Pimpao</t>
  </si>
  <si>
    <t>Efeitos da Injeção Intravenosa de Células-Tronco Mesenquimais Humanas na Inflamação Pulmonar em Modelo de Asma Aguda em Camundongos Balb/c</t>
  </si>
  <si>
    <t>200/2012</t>
  </si>
  <si>
    <t>Mauren Isfer Anghebem Oliveira</t>
  </si>
  <si>
    <t>Isoformas solúveis de RAGE e metaloproteases como novos biomarcadores inflamatórios no diabetes tipo 2.</t>
  </si>
  <si>
    <t>201/2012</t>
  </si>
  <si>
    <t>Renato Herdina Erdmann</t>
  </si>
  <si>
    <t>Criopreservação de gametas em gato maracajá (Leopardus wiedii Schinz, 1821).</t>
  </si>
  <si>
    <t>202/2012</t>
  </si>
  <si>
    <t>Roberto Pecoits-Filho</t>
  </si>
  <si>
    <t>Toxicidade urêmica e resposta imune inata: biomarcadores específicos e mecanismos celulares</t>
  </si>
  <si>
    <t>203/2012</t>
  </si>
  <si>
    <t>Alceu de Souza Britto Jr.</t>
  </si>
  <si>
    <t>Abordagem Dinâmica para a Seleção de Subconjuntos de Classificadores</t>
  </si>
  <si>
    <t>204/2012</t>
  </si>
  <si>
    <t>Julio Cesar Paisani</t>
  </si>
  <si>
    <t>Geodinâmica do Planalto de Palmas/Água Doce – contribuição para entendimento do Quaternário continental do sul do Brasil e o desenvolvimento de superfícies aplainadas</t>
  </si>
  <si>
    <t>205/2012</t>
  </si>
  <si>
    <t>Marga Eliz Pontelli</t>
  </si>
  <si>
    <t>Cronossequencia de perfis de alteração e pedons nas superfícies incompletamente aplainadas III, IV e V - Sudoeste do Paraná</t>
  </si>
  <si>
    <t>206/2012</t>
  </si>
  <si>
    <t>Fabiana Gisele da Silva Pinto</t>
  </si>
  <si>
    <t>Avaliação da atividade de óleos essenciais e extratos vegetais para o controle de pragas e doenças na avicultura agroecológica</t>
  </si>
  <si>
    <t>207/2012</t>
  </si>
  <si>
    <t>Eduardo Godoy de Souza</t>
  </si>
  <si>
    <t>Método Agronômico e Estatístico de Geração de Unidades de Manejo em soja e milho.</t>
  </si>
  <si>
    <t>208/2012</t>
  </si>
  <si>
    <t>Adrian Alvarez Estrada</t>
  </si>
  <si>
    <t>Em busca de uma teoria da Administração Escolar no Brasil: quadro epistemológico e ideologia em Lourenço Filho e Querino Ribeiro</t>
  </si>
  <si>
    <t>209/2012</t>
  </si>
  <si>
    <t>Phallcha Luizar Obregon</t>
  </si>
  <si>
    <t>Vigilância ambiental em saúde: determinação da qualidade da água do córrego Bezerra no município de Cascavel – PR.</t>
  </si>
  <si>
    <t>210/2012</t>
  </si>
  <si>
    <t>Adriana Aparecida de Figueiredo Fiuza</t>
  </si>
  <si>
    <t>Entre a memória e o esquecimento: releituras da história da Guerra Civil e do franquismo na narrativa e na filmografia espanhola contemporânea (1975-2011)</t>
  </si>
  <si>
    <t>211/2012</t>
  </si>
  <si>
    <t>Greice da Silva Castela</t>
  </si>
  <si>
    <t>Novas tecnologias na Educação: análise de sites para ensino-aprendizagem de Espanhol como Língua Estrangeira</t>
  </si>
  <si>
    <t>212/2012</t>
  </si>
  <si>
    <t>Silvio César Sampaio</t>
  </si>
  <si>
    <t>Planejamento de uso e ocupação do solo em função do potencial eutrofizante na bacia hidrográfica do rio São Francisco Verdadeiro</t>
  </si>
  <si>
    <t>213/2012</t>
  </si>
  <si>
    <t>Eduardo Alexandre Loth</t>
  </si>
  <si>
    <t>Avaliação da virulência da cepa de Paracoccidioides brasiliensis em modelo experimental de Paracoccidioidomicose após esplenectomia total</t>
  </si>
  <si>
    <t>214/2012</t>
  </si>
  <si>
    <t>Patricia Oehlmeyer Nassar</t>
  </si>
  <si>
    <t>Avaliação do tecido ósseo de ratos com obesidade induzida</t>
  </si>
  <si>
    <t>215/2012</t>
  </si>
  <si>
    <t>Silvia Renata Machado Coelho</t>
  </si>
  <si>
    <t>Qualidade tecnológica e segurança alimentar feijão armazenado após aplicação de dessecante químico</t>
  </si>
  <si>
    <t>216/2012</t>
  </si>
  <si>
    <t>Michele Ana Flores Chaves</t>
  </si>
  <si>
    <t>Epidemiologia das alterações citogenéticas e moleculares nas leucemias linfóides agudas em pacientes pediátricos atendidos  na Região de Cascavel - Paraná</t>
  </si>
  <si>
    <t>217/2012</t>
  </si>
  <si>
    <t>Maria do Carmo Lana</t>
  </si>
  <si>
    <t>Variabilidade espacial da fertilidade do solo e recomendação de adubação para as culturas de soja e trigo no oeste do Paraná</t>
  </si>
  <si>
    <t>218/2012</t>
  </si>
  <si>
    <t>Dione Olesckuk Soutes</t>
  </si>
  <si>
    <t>Um levantamento do perfil das empresas e dos profissionais contábeis atuantes na região oeste do Estado do Paraná</t>
  </si>
  <si>
    <t>219/2012</t>
  </si>
  <si>
    <t>Aparecido Nivaldo Módenes</t>
  </si>
  <si>
    <t>Estudo do processo de biossorção utilizando fibra do caule da bananeira no tratamento de efluentes de indústria têxtil.</t>
  </si>
  <si>
    <t>220/2012</t>
  </si>
  <si>
    <t>Carlos Alberto Gonçalves Junior</t>
  </si>
  <si>
    <t>Estudo da influência dos atores no ambiente institucional no município de Toledo – PR à luz da Nova Economia Institucional</t>
  </si>
  <si>
    <t>221/2012</t>
  </si>
  <si>
    <t>Mirian Beatriz Schneider Braun</t>
  </si>
  <si>
    <t>A crise financeira de 2008, barreiras protecionistas e impactos sobre inserção agrícola Paranaense no mercado mundial</t>
  </si>
  <si>
    <t>222/2012</t>
  </si>
  <si>
    <t>Wilson Rogério Boscolo</t>
  </si>
  <si>
    <t>Hidrolisado protássico de pescado em rações vegetais para jundiá e tilápia do Nilo</t>
  </si>
  <si>
    <t>223/2012</t>
  </si>
  <si>
    <t>Robie Allan Bombardelli</t>
  </si>
  <si>
    <t>Utilização de glicerol proveniente da indústria do biodiesel como componente de dietas balanceadas para reprodutores de tilápia do Nilo (Oreochromis niloticus)</t>
  </si>
  <si>
    <t>224/2012</t>
  </si>
  <si>
    <t>Moacir Piffer</t>
  </si>
  <si>
    <t>Emprego e a percepção da governança regional no Paraná</t>
  </si>
  <si>
    <t>225/2012</t>
  </si>
  <si>
    <t>Eliane Nascimento Pereira</t>
  </si>
  <si>
    <t>Desenvolvimento de objetos de aprendizagem para qualificação de profissionais da indústria do turismo</t>
  </si>
  <si>
    <t>226/2012</t>
  </si>
  <si>
    <t>Reinaldo Antonio da Silva Sobrinho</t>
  </si>
  <si>
    <t>Avaliação da Atenção Básica no tratamento da tuberculose em uma localidade de fronteira internacional.</t>
  </si>
  <si>
    <t>227/2012</t>
  </si>
  <si>
    <t>Luiz Nacamura Júnior</t>
  </si>
  <si>
    <t>Plataforma de pesquisa para aquisição e processamento de sinais e geração de imagens por ultrassom.</t>
  </si>
  <si>
    <t>228/2012</t>
  </si>
  <si>
    <t>Benjamim de Melo Carvalho</t>
  </si>
  <si>
    <t>Infraestrutura multiusuária de preparação de amostras da UEPG.</t>
  </si>
  <si>
    <t>229/2012</t>
  </si>
  <si>
    <t>Sergio Scheer</t>
  </si>
  <si>
    <t>Equipamentos multiusuários em laboratórios vinculados aos Programas de pós-graduação da UFPR.</t>
  </si>
  <si>
    <t>230/2012</t>
  </si>
  <si>
    <t>Luiz Antonio de Souza</t>
  </si>
  <si>
    <t>Avaliação da tolerância à contaminação por hidrocarboneto e do potencial de fitorremediação de espécies nativas de Fabaceae (Leguminosae)</t>
  </si>
  <si>
    <t>231/2012</t>
  </si>
  <si>
    <t>Roberto Kenji Nakamura Cuman</t>
  </si>
  <si>
    <t>Efeito de óleos essenciais obtidos do Thymus vulgaris, Ocimum basilicum L. dos frutos do gênero Citrus e de seus principais constituíntes sobre a sobre a atividade antibacteriana, adesão de Salmonella spp. e resposta inflamatória aguda em roedores</t>
  </si>
  <si>
    <t>0207/2014</t>
  </si>
  <si>
    <t>232/2012</t>
  </si>
  <si>
    <t>Fabíola Castelo de Souza Cordovil</t>
  </si>
  <si>
    <t>Construir e administrar: técnica e política na construção de Maringá, PR, 1983 a 1992</t>
  </si>
  <si>
    <t>233/2012</t>
  </si>
  <si>
    <t>Roberto Barbosa Bazotte</t>
  </si>
  <si>
    <t>Avaliação de marcadores inflamatórios, estresse oxidativo e proteínas de choque térmico em ratos submetidos a hipoglicemia induzida por insulina</t>
  </si>
  <si>
    <t>234/2012</t>
  </si>
  <si>
    <t>Vitor de Cinque Almeida</t>
  </si>
  <si>
    <t>Preparação e caracterização de carvões ativados obtidos da casca de macadâmia (Macadâmia integrifólia) assistido por microondas e sua aplicação em estudos de adsorção de poluentes</t>
  </si>
  <si>
    <t>235/2012</t>
  </si>
  <si>
    <t>Mirian Hisae Yaegahi Zappone</t>
  </si>
  <si>
    <t>Leituras de moças nos decênio de 1940-50 no Brasil: formas, temas e representações</t>
  </si>
  <si>
    <t xml:space="preserve">  27/06/2012</t>
  </si>
  <si>
    <t>236/2012</t>
  </si>
  <si>
    <t>Antonio Carlos Saraiva da Costa</t>
  </si>
  <si>
    <t xml:space="preserve">Alteração no balanço de cargas superficiais nos solos da região Sul do Brasil em plantio direto. </t>
  </si>
  <si>
    <t>237/2012</t>
  </si>
  <si>
    <t>Renato Leão Rego</t>
  </si>
  <si>
    <t>Cidades novas planejadas no Brasil: forma e contexto</t>
  </si>
  <si>
    <t>238/2012</t>
  </si>
  <si>
    <t>Maria Raquel Marçal Natali</t>
  </si>
  <si>
    <t>Obesidade Experimental e suplementação de fibras na dieta de ratos sedentários e treinados:morfologia e inervação intrinseca intestinal</t>
  </si>
  <si>
    <t>239/2012</t>
  </si>
  <si>
    <t>Analete Regina Schelbauer</t>
  </si>
  <si>
    <t>História e memória das escolas primárias rurais no Paraná</t>
  </si>
  <si>
    <t>240/2012</t>
  </si>
  <si>
    <t>Cristina do Carmo Lucio</t>
  </si>
  <si>
    <t>Avaliação de Usabilidade de Embalagens de Medicamentos por Idosos</t>
  </si>
  <si>
    <t>241/2012</t>
  </si>
  <si>
    <t>Sonia Silva Marcon</t>
  </si>
  <si>
    <t>Assistência e controle da tuberculose no estado do Paraná</t>
  </si>
  <si>
    <t>242/2012</t>
  </si>
  <si>
    <t>III Congresso de Psicologia da UEL - A inserção da Psicologia na Saúde: Alcances, Limites e Impasses.</t>
  </si>
  <si>
    <t>243/2012</t>
  </si>
  <si>
    <t>Valter Afonso Vieira</t>
  </si>
  <si>
    <t>O impacto das propagandas de foco regulatório em marketing para minimizar acidentes e mortes no trânsito: ações para o governo federal</t>
  </si>
  <si>
    <t>244/2012</t>
  </si>
  <si>
    <t>Manoel Messias Alves da Silva</t>
  </si>
  <si>
    <t>Terminologia da nanociência  &amp; nanotecnologia: proposta de integração intralinguística  PB-PE</t>
  </si>
  <si>
    <t>245/2012</t>
  </si>
  <si>
    <t>Maria Cristina Bronharo Tognim</t>
  </si>
  <si>
    <t>Vigilância Epidemiológica de Bactérias Multirresistentes no Hospital Universitário de Maringá.</t>
  </si>
  <si>
    <t>246/2012</t>
  </si>
  <si>
    <t>Jesuí Vergílio Visentainer</t>
  </si>
  <si>
    <t>Avaliação da composição química, de ácidos graxos, do potencial antioxidante e do processamento das diferentes partes de frutas nativas e exóticas brasileiras, visando a potencialidade de componentes nutritivos e bioativos</t>
  </si>
  <si>
    <t>247/2012</t>
  </si>
  <si>
    <t>João Fábio Bertonha</t>
  </si>
  <si>
    <t>O integralismo brasileiro e o Cone Sul: relações transnacionais e rivalidades políticas</t>
  </si>
  <si>
    <t>248/2012</t>
  </si>
  <si>
    <t>Alternativas para enfrentamento da violência na educação básica: uma demanda à psicologia escolar</t>
  </si>
  <si>
    <t>249/2012</t>
  </si>
  <si>
    <t>Ervin Kaminski Lenzi</t>
  </si>
  <si>
    <t>Processos Difusivos e Sistemas Complexos: Aspectos Teoricos e Experimentais</t>
  </si>
  <si>
    <t>250/2012</t>
  </si>
  <si>
    <t>Angelica Marquetotti Salcedo Vieira</t>
  </si>
  <si>
    <t>Purificação da proteína coagulante presente na semente de Moringa oleífera, e sua aplicação no tratamento de águas superficiais</t>
  </si>
  <si>
    <t>251/2012</t>
  </si>
  <si>
    <t>Silvana Marques de Araújo</t>
  </si>
  <si>
    <t>“Imunomodulação com substâncias ultradiluídas no tratamento da infecção murina pelo Trypanosoma cruzi”</t>
  </si>
  <si>
    <t>252/2012</t>
  </si>
  <si>
    <t>Alessandro de Lucca e Braccini</t>
  </si>
  <si>
    <t>Avaliação do desempenho agronômico e da qualidade de sementes da cultura do milho (Zea mays L.) sob efeito da inoculação das sementes com Azospirillum brasilense, associada a diferentes doses de nitrogênio e manejo com biorregulador</t>
  </si>
  <si>
    <t>253/2012</t>
  </si>
  <si>
    <t>Christian Fausto Moraes dos Santos</t>
  </si>
  <si>
    <t>Análise do Manuscrito Inédito "Diálogos Geográficos Chronologicos, Politicos, e Naturais" (1769) de José Barbosa de Sá</t>
  </si>
  <si>
    <t>254/2012</t>
  </si>
  <si>
    <t>Ronaldo Augusto de Lara Gonçalves</t>
  </si>
  <si>
    <t>Paralelização de Aplicações Científicas em GPU</t>
  </si>
  <si>
    <t>255/2012</t>
  </si>
  <si>
    <t>Kátia Regina Freitas Schwan-Estrada</t>
  </si>
  <si>
    <t>Bioprospecção de fungos sapróbios do semi-árido nordestino para o controle de doenças em tomateiro sob cultivo orgânico</t>
  </si>
  <si>
    <t>256/2012</t>
  </si>
  <si>
    <t>Celene Tonella</t>
  </si>
  <si>
    <t>A questão metropolitana no Paraná, localismos e geografia social dos votos - um estudo das eleições legislativas de 2010</t>
  </si>
  <si>
    <t>257/2012</t>
  </si>
  <si>
    <t>Marcelino Luiz Gimenes</t>
  </si>
  <si>
    <t>Utilização de sericina em materiais de aplicação ambiental</t>
  </si>
  <si>
    <t>258/2012</t>
  </si>
  <si>
    <t>Portal da Literatura Paranaense: formação e consolidação de um campo literário</t>
  </si>
  <si>
    <t>259/2012</t>
  </si>
  <si>
    <t>Marcelo Moreira Cavalcanti</t>
  </si>
  <si>
    <t>Controle e Estabilização de Sistemas Governados pelas Equações Diferenciais Parciais sobre Variedades</t>
  </si>
  <si>
    <t>260/2012</t>
  </si>
  <si>
    <t>Dennis Armando Bertolini</t>
  </si>
  <si>
    <t>Resistência primária aos antiretrovirais em indivíduos recente e cronicamente infectados por HIV-1 nas regiões noroeste e norte do Paraná.</t>
  </si>
  <si>
    <t>261/2012</t>
  </si>
  <si>
    <t>Gilberto Cezar Pavanelli</t>
  </si>
  <si>
    <t>Fauna parasitária de duas espécies de peixes de interesse comercial originárias da Amazônia e introduzidas em outras bacias hidrográficas do Brasil: 1. Impactos na biodiversidade e na relação parasito-hospedeiro dos locais invadidos.</t>
  </si>
  <si>
    <t>262/2012</t>
  </si>
  <si>
    <t>Ivair Aparecido dos Santos</t>
  </si>
  <si>
    <t>Desenvolvimento de Sensores Multiferroicos Magnetoelétricos Multifuncionais</t>
  </si>
  <si>
    <t>263/2012</t>
  </si>
  <si>
    <t>Luiz Fernando Cótica</t>
  </si>
  <si>
    <t>Desenvolvimento de fármacos baseados em nanopartículas de óxidos magnéticos para aplicações em tratamentos e diagnósticos de tumores</t>
  </si>
  <si>
    <t>264/2012</t>
  </si>
  <si>
    <t>Tania Fatima Calvi Tait</t>
  </si>
  <si>
    <t>Uma abordagem para gestão de projetos de software para aplicações móveis</t>
  </si>
  <si>
    <t>265/2012</t>
  </si>
  <si>
    <t>Desenvolvimento de métodos cromatográficos e eletroforéticos para controle da qualidade de águas, alimentos e amostras ambientais</t>
  </si>
  <si>
    <t>266/2012</t>
  </si>
  <si>
    <t>Natalino Henrique Medeiros</t>
  </si>
  <si>
    <t>As transformações recentes na estrutura socioeconômica do Estado do Paraná: Uma análise multidimensional</t>
  </si>
  <si>
    <t>267/2012</t>
  </si>
  <si>
    <t>Compósito de hidroxiapatita-pentóxido de nióbio (HAp- Nb2O5): um biomaterial promissor para o reparo ósseo? Estudo ex vivo.</t>
  </si>
  <si>
    <t>268/2012</t>
  </si>
  <si>
    <t>Ulysses Cecato</t>
  </si>
  <si>
    <t>Análise bioeconômica de estratégias de suplementação para produção de carne bovina em pastos de Panicum maximum cv. Tanzânia</t>
  </si>
  <si>
    <t>269/2012</t>
  </si>
  <si>
    <t>Jeane Eliete Laguila Visentainer</t>
  </si>
  <si>
    <t>Imunohematologia aplicada ao estudo de mielodisplasias e anemia hemolítica auto-imune.</t>
  </si>
  <si>
    <t>270/2012</t>
  </si>
  <si>
    <t>Preparação e Caracterização das propriedades termo-óptica e espectroscópica de vidros Aluminosilicato de Cálcio dopados com óxidos de terras-raras – Fase II</t>
  </si>
  <si>
    <t>271/2012</t>
  </si>
  <si>
    <t>Mauro Luciano Baesso</t>
  </si>
  <si>
    <t>Desenvolvimento de vidros sem OH- para geração de luz branca inteligente e para o desenvolvimento de lasers de estado sólido</t>
  </si>
  <si>
    <t>272/2012</t>
  </si>
  <si>
    <t>Elisa Hatsue Moriya Huzita</t>
  </si>
  <si>
    <t>Gestão de informação de contexto e de conhecimento no desenvolvimento global e colaborativo de software</t>
  </si>
  <si>
    <t>273/2012</t>
  </si>
  <si>
    <t>Fernando Carlos Messias Freire</t>
  </si>
  <si>
    <t>Adaptação da técnica de espectroscopia de impedância para a medição em sangue humano com particular interesse na análise do colesterol</t>
  </si>
  <si>
    <t>274/2012</t>
  </si>
  <si>
    <t>Maria Helena Sarragiotto</t>
  </si>
  <si>
    <t>Desenvolvimento de novos compostos com atividade antitripanossômica, antileishmania e/ou antitumoral a partir de beta-carbolinas condensadas com unidades triazolo-tiadiazina e triazolo-tiadiazol</t>
  </si>
  <si>
    <t>275/2012</t>
  </si>
  <si>
    <t>Nelson Guilherme Castelli Astrath</t>
  </si>
  <si>
    <t>Caracterização físico-química de soluções aquosas por excitação local via laser.</t>
  </si>
  <si>
    <t>276/2012</t>
  </si>
  <si>
    <t>Lúcia Osana Zolin</t>
  </si>
  <si>
    <t>Centro de Documentação Virtual de Literatura de Autoria Feminina Paranaense e Pesquisas Relacionadas</t>
  </si>
  <si>
    <t>277/2012</t>
  </si>
  <si>
    <t>Alice Eiko Murakami</t>
  </si>
  <si>
    <t>Leucina e suas possíveis interações com aminoácidos de cadeia ramificada nas rações de frangos de corte</t>
  </si>
  <si>
    <t>278/2012</t>
  </si>
  <si>
    <t>Francisco Giovanni David Vieira</t>
  </si>
  <si>
    <t>Comportamento, atributos de compra e representações culturais no consumo de aparelhos e serviços de telefonia móvel no mercado de baixa renda no estado do Paraná</t>
  </si>
  <si>
    <t>279/2012</t>
  </si>
  <si>
    <t>Maria Helena Dantas de Menezes Guariente</t>
  </si>
  <si>
    <t>Curriculo integrado de um curso de enfermagem: gestão pedagógica e formação profissional</t>
  </si>
  <si>
    <t>280/2012</t>
  </si>
  <si>
    <t>Marco Aurélio Alves de Freitas Barbosa</t>
  </si>
  <si>
    <t>Análise bioeconômica da produção de bovinos de corte em pastos de  Brachiaria brizantha sob quatro alturas de desfolha</t>
  </si>
  <si>
    <t>281/2012</t>
  </si>
  <si>
    <t>Ivone Yurika Mizubuti</t>
  </si>
  <si>
    <t>Torta de crambe (crambe abyssinica hoechst) na alimentação de ovinos.</t>
  </si>
  <si>
    <t>282/2012</t>
  </si>
  <si>
    <t>Leandro das Dores Ferreira da Silva</t>
  </si>
  <si>
    <t>Avaliação da torta de girassol na nutrição e alimentação de vacas lactantes</t>
  </si>
  <si>
    <t>283/2012</t>
  </si>
  <si>
    <t>Fatores que afetam a produção do extrato aquoso de soja e farinha de okara e avaliação dos processos e produtos quanto o teor de compostos bioativos, propriedades tecnológicas funcionais e aceitabilidade geral.</t>
  </si>
  <si>
    <t>284/2012</t>
  </si>
  <si>
    <t>Milena Kanashiro</t>
  </si>
  <si>
    <t>Guia de Design de ZEIS - Zonas Especiais de Interesse Social.</t>
  </si>
  <si>
    <t>285/2012</t>
  </si>
  <si>
    <t>Benilson Borinelli</t>
  </si>
  <si>
    <t>Evolução e Determinantes dos Gastos Públicos em Gestão Ambiental nos Municípios Paranaenses no período de 2002 a 2010</t>
  </si>
  <si>
    <t>286/2012</t>
  </si>
  <si>
    <t>Valter Harry Bumbieris Junior</t>
  </si>
  <si>
    <t>Silagem de grãos úmidos de triticale ensiladas com diferentes aditivos na alimentação de ovinos</t>
  </si>
  <si>
    <t>287/2012</t>
  </si>
  <si>
    <t>Fábio Yuzo Nakamura</t>
  </si>
  <si>
    <t>Efeito de 12 semanas de treinamento aeróbio sobre a modulação autonômica em pré-púberes: ensaio clínico aleatório</t>
  </si>
  <si>
    <t>288/2012</t>
  </si>
  <si>
    <t>Angela Marta Pereira das Dores Savioli</t>
  </si>
  <si>
    <t>Pensamento Matemático Avançado</t>
  </si>
  <si>
    <t>289/2012</t>
  </si>
  <si>
    <t>Marcos Doederlein Polito</t>
  </si>
  <si>
    <t>Nivel de condicionamento físico e pressão arterial pós-exercício em hipertensos e normotensos.</t>
  </si>
  <si>
    <t>290/2012</t>
  </si>
  <si>
    <t>Rodrigo da Costa Gomes</t>
  </si>
  <si>
    <t>Espectroscopia de reflectância do visível e do infravermelho próximo (VISNIR) em aparelho portátil e sua utilização para predição do valor nutritivo de Brachiaria brizantha cv. Xaraés sob pastejo por bovinos de corte</t>
  </si>
  <si>
    <t>291/2012</t>
  </si>
  <si>
    <t>Marcia Cristina Furlaneto</t>
  </si>
  <si>
    <t>Ocorrência de switching fenotípico em isolados de Candida tropicalis associados a infecções hematogênicas: análise ultraestrutural de variantes fenotípicos e avaliação de expressão de determinantes de virulência e suscetibilidade a antifúngicos</t>
  </si>
  <si>
    <t>292/2012</t>
  </si>
  <si>
    <t>Waldiceu Aparecido Verri Junior</t>
  </si>
  <si>
    <t>Mecanismos moleculares periféricos e espinais envolvidos na hiperalgesia e inflamação induzidas pelo ânion superóxido</t>
  </si>
  <si>
    <t>293/2012</t>
  </si>
  <si>
    <t>Marcos Hirata Soares</t>
  </si>
  <si>
    <t>Estudo de adaptação cultural e validação para o idioma português da escala Management of agression and violence attitude  scale (MAVAS)</t>
  </si>
  <si>
    <t>294/2012</t>
  </si>
  <si>
    <t>Vanderci de Andrade Aguilera</t>
  </si>
  <si>
    <t>Léxico Histórico do Português no Paraná</t>
  </si>
  <si>
    <t>295/2012</t>
  </si>
  <si>
    <t>José Fernandes Weber</t>
  </si>
  <si>
    <t>Técnica, tecnologia e educação em Martin Heidegger e Gilbert Simondon: destruição do pensamento ou ampliação da experiência?</t>
  </si>
  <si>
    <t>296/2012</t>
  </si>
  <si>
    <t>Phileno Pinge Filho</t>
  </si>
  <si>
    <t>Infecção Experimental por Trypanosoma cruzi: caracterização da resposta imune protetora induzida pela imunização com Phytomonas serpens (Isolado 15 T) e do papel de proteases com similaridade à cruzipaína</t>
  </si>
  <si>
    <t>297/2012</t>
  </si>
  <si>
    <t>Gilson Jacob Bergoc</t>
  </si>
  <si>
    <t>Estruturação do território do norte do Paraná no século XX: o papel da infraestrutura na produção do espaço regional.</t>
  </si>
  <si>
    <t>298/2012</t>
  </si>
  <si>
    <t>Ionice Felipe</t>
  </si>
  <si>
    <t>Candidiase cutânea em camundongos diabéticos e efeito da concanavalina-a com fins terapêuticos</t>
  </si>
  <si>
    <t>299/2012</t>
  </si>
  <si>
    <t>Vétices e Álgeras, Genus Elípiticos e Funções Partições em Teorias Quânticas dos Campos</t>
  </si>
  <si>
    <t>300/2012</t>
  </si>
  <si>
    <t>Maria Angélica Ehara Watanabe</t>
  </si>
  <si>
    <t>Células regulatórias na interação tumor-hospedeiro em câncer de mama: aspectos imunológicos, moleculares e epigenéticos</t>
  </si>
  <si>
    <t>301/2012</t>
  </si>
  <si>
    <t>Vera Lucia Hideko Tatakihara</t>
  </si>
  <si>
    <t>Trypanosoma cruzi: efeitos do tratamento de camundongos infectados com NO-indometacina sobre a patogênese da doença de Chagas.</t>
  </si>
  <si>
    <t>302/2012</t>
  </si>
  <si>
    <t>Taufik Abrão</t>
  </si>
  <si>
    <t>Eficiência Energética, Espectral e Alocação de Recursos em Redes Cooperativas e Sistemas de Comunicação de Múltiplo Acesso</t>
  </si>
  <si>
    <t>303/2012</t>
  </si>
  <si>
    <t>Renata da Rosa</t>
  </si>
  <si>
    <t>Estudo do comportamento mitótico e meiótico de cromossomos B em peixes da família Curimatidae (Characiformes): caracterização molecular por microdissecção</t>
  </si>
  <si>
    <t>304/2012</t>
  </si>
  <si>
    <t>Silvia Helena Sofia</t>
  </si>
  <si>
    <t>A comunidade de abelhas da Ilha de Superagui: estrutura genética, diversidade, biologia de nidificação e fontes florais em áreas de restinga e floresta ombrófila densa</t>
  </si>
  <si>
    <t xml:space="preserve"> 19/06/2012</t>
  </si>
  <si>
    <t>305/2012</t>
  </si>
  <si>
    <t>Maria Helena Pelegrinelli Fungaro</t>
  </si>
  <si>
    <t>Desenvolvimento de metodologia de discriminação entre linhagens de Aspergillus niger produtoras e não produtoras de ocratoxina</t>
  </si>
  <si>
    <t>306/2012</t>
  </si>
  <si>
    <t>Oscar Akio Shibatta</t>
  </si>
  <si>
    <t>Análise morfológica e molecular de Microglanis cottoides (Siluriformes, Pseudopimelodidae), do sul e sudeste do Brasil, em um contexto biogeográfico</t>
  </si>
  <si>
    <t>307/2012</t>
  </si>
  <si>
    <t>Maria Antônia Pedrine Colabone Celligoi</t>
  </si>
  <si>
    <t>Sintese de fruto-oligossacarídeos pela fructosiltransferase de microrgamismos e por fermentação para a aplicação em alimentos.</t>
  </si>
  <si>
    <t>308/2012</t>
  </si>
  <si>
    <t>Luci Harue Fatori</t>
  </si>
  <si>
    <t>Sistemas Dinâmicos Dipersivos e Aplicações</t>
  </si>
  <si>
    <t>309/2012</t>
  </si>
  <si>
    <t>André Luiz Martinez de Oliveira</t>
  </si>
  <si>
    <t>Identificação de genótipos e estratégias de inoculação com bactérias promotoras do crescimento vegetal para aumentar a sustentabilidade da cultura da cana-de-açúcar</t>
  </si>
  <si>
    <t>310/2012</t>
  </si>
  <si>
    <t>Manoel Simões Filho</t>
  </si>
  <si>
    <t>Geometria Molecular e a universalidade nemática</t>
  </si>
  <si>
    <t>311/2012</t>
  </si>
  <si>
    <t>Crianças sob riscos multiplos ao desenvolvimento: análise funcional do contexto e propostas de intervenção</t>
  </si>
  <si>
    <t>312/2012</t>
  </si>
  <si>
    <t>Osmar Rodrigues Brito</t>
  </si>
  <si>
    <t>Uso da espectroscopia de infravermelho próximo (NIRS) como ferramenta para caracterização química e mineralógica de solos da região Norte do Paraná.</t>
  </si>
  <si>
    <t>313/2012</t>
  </si>
  <si>
    <t>Eiko Nakagawa Itano</t>
  </si>
  <si>
    <t>Introdução de metodologias alternativas utilizando anticorpos monoclonais /policlonais e antígenos solúveis para fins de diagnóstico e ou estudo da patogenia de micoses sistêmicas, periodontite e reabsorção dentária.</t>
  </si>
  <si>
    <t>314/2012</t>
  </si>
  <si>
    <t>Keiko Takashima</t>
  </si>
  <si>
    <t>Síntese e caracterização de catalisadores nanoestruturados de óxidos mistos contendo semicondutores dos tipos p e n com aplicação em fotocatálise heterogênea.</t>
  </si>
  <si>
    <t>315/2012</t>
  </si>
  <si>
    <t>Mônica Vicky Bahr Arias</t>
  </si>
  <si>
    <t>Doenças Neurodegenerativas: o cão como modelo experimental para o homem</t>
  </si>
  <si>
    <t>316/2012</t>
  </si>
  <si>
    <t>Mario Augusto Ono</t>
  </si>
  <si>
    <t>Desenvolvimento de método rápido para detecção do fungo micotoxigênico Fusarium verticillioides em milho</t>
  </si>
  <si>
    <t>317/2012</t>
  </si>
  <si>
    <t>Dimas Augusto Morozin Zaia</t>
  </si>
  <si>
    <t>Comportamento dos aminoácidos protéicos e não protéicos adsorvidos em goetita em diferentes composições salinas de água do mar: um estudo de química prebiótica</t>
  </si>
  <si>
    <t>318/2012</t>
  </si>
  <si>
    <t>Ana Virgínia Carvalhaes de Faria Sampaio</t>
  </si>
  <si>
    <t>Método para Avaliar o Desempenho de Sistemas de Aquecimento Solar em Uso na Habitação de Interesse Social</t>
  </si>
  <si>
    <t>319/2012</t>
  </si>
  <si>
    <t>Eduardo José de Almeida Araújo</t>
  </si>
  <si>
    <t>Análise dos efeitos do tratamento com aspirina sobre o desenvolvimento de neuropatia entérica de camundongos infectados com Trypanosoma cruzi</t>
  </si>
  <si>
    <t>320/2012</t>
  </si>
  <si>
    <t>Fabio de Oliveira Pitta</t>
  </si>
  <si>
    <t>Efeitos de dois programas de exercício físico de longa duração sobre aspectos pulmonares e sistêmicos em pacientes com Doença Pulmonar Obstrutiva Crônica (DPOC)</t>
  </si>
  <si>
    <t>321/2012</t>
  </si>
  <si>
    <t>Emilia Kiyomi Kuroda</t>
  </si>
  <si>
    <t>Avaliação da formação de subprodutos orgânicos halogenados mediante a aplicação de cloro e de oxidantes alternativos em águas contendo microalgas e ou cianobactérias.</t>
  </si>
  <si>
    <t>322/2012</t>
  </si>
  <si>
    <t>Valéria Carpentieri Pípolo</t>
  </si>
  <si>
    <t>Aspectos inovadores da interação microrganismo-hospedeiro: estratégias e técnicas para obtenção de cultivares melhoradas de soja resistentes à doenças baterianas e eficientes na fixação de nitrogênio</t>
  </si>
  <si>
    <t>323/2012</t>
  </si>
  <si>
    <t>Cássia Thais Bussamra Vieira Zaia</t>
  </si>
  <si>
    <t>Papel central e periférico do peptídeo intestinal vasoativo no controle da ingestão alimentar</t>
  </si>
  <si>
    <t>324/2012</t>
  </si>
  <si>
    <t>José Alexandre França</t>
  </si>
  <si>
    <t>Projeto e desenvolvimento de um sistema de quantificação da água no leite baseado em reflexão difusa do infravermelho próximo</t>
  </si>
  <si>
    <t>325/2012</t>
  </si>
  <si>
    <t>Impacto de diferentes frequências semanais ao treinamento com pesos em mulheres  idosas</t>
  </si>
  <si>
    <t>326/2012</t>
  </si>
  <si>
    <t>Ieda Spacino Scarminio</t>
  </si>
  <si>
    <t>Avaliação dos metabólitos secundários na qualidade do produto relacionado à distribuição espacial de folhagem e frutos de café arábica</t>
  </si>
  <si>
    <t>327/2012</t>
  </si>
  <si>
    <t>Catia Campaner Ferrari Bernardy</t>
  </si>
  <si>
    <t>Padronização de um modelo de hiperalgesia mecânica e térmica induzidas por tumor de Ehrlich em camundongos</t>
  </si>
  <si>
    <t>328/2012</t>
  </si>
  <si>
    <t>Jorge Daniel de Melo Moura</t>
  </si>
  <si>
    <t>Estruturas leves de madeira laminada pregada de pinus ssp, usando ligações com prego para telhados de habitações de interesse social</t>
  </si>
  <si>
    <t>329/2012</t>
  </si>
  <si>
    <t>Luiz Filipe Protasio Pereira</t>
  </si>
  <si>
    <t>Sequenciamento de alto rendimento de RNA (RNASeq) em Coffea arabica para formação de rede gênicas e identificação de polimorfismos</t>
  </si>
  <si>
    <t>330/2012</t>
  </si>
  <si>
    <t>Tito Jeronimo Adalberto Alfaro Serrano</t>
  </si>
  <si>
    <t>A Contribuição da Extensão Universitária Para o Desenvolvimento Regional: Estudo de caso do Programa Universidade sem Fronteiras do Estado Do Paraná.</t>
  </si>
  <si>
    <t>331/2012</t>
  </si>
  <si>
    <t>FAFIUVA</t>
  </si>
  <si>
    <t>Lutécia Hiera da Cruz</t>
  </si>
  <si>
    <t>Estudo da Potencialidade dos Processos Fotoeletroquímico na Degradação de Poluentes Emergentes (Fármacos)</t>
  </si>
  <si>
    <t>332/2012</t>
  </si>
  <si>
    <t>Michele Regiane Dias Veronez</t>
  </si>
  <si>
    <t>A linguagem no contexto escolar e seus usos: implicações para a aprendizagem em Matemática.</t>
  </si>
  <si>
    <t>333/2012</t>
  </si>
  <si>
    <t>Álvaro Fontana</t>
  </si>
  <si>
    <t>Síntese de derivados de PPV</t>
  </si>
  <si>
    <t>334/2012</t>
  </si>
  <si>
    <t>Alessandra Melo de Aguiar</t>
  </si>
  <si>
    <t>Caracterização de fatores solúveis e elementos de matriz extracelular de células cardíacas humanas: papel em terapias do sistema cardiovascular</t>
  </si>
  <si>
    <t>335/2012</t>
  </si>
  <si>
    <t>Augusto Savio Peixoto Ramos</t>
  </si>
  <si>
    <t>Caracterização molecular e funcional do transporte intracelular de nucleotídeos-açúcares em Trypanosoma cruzi</t>
  </si>
  <si>
    <t>336/2012</t>
  </si>
  <si>
    <t>Granulos de RNA: papel na modulação da expressão gênica e na patogênese</t>
  </si>
  <si>
    <t>337/2012</t>
  </si>
  <si>
    <t>Alejandro Correa Dominguez</t>
  </si>
  <si>
    <t>Caracterização e estudo da função dos grânulos citoplásmicos que contêm mRNA em células-tronco mesenquimais humanas</t>
  </si>
  <si>
    <t>338/2012</t>
  </si>
  <si>
    <t>Paulo Rogério Scalassara</t>
  </si>
  <si>
    <t>Medidas de previsibilidade de sinais de voz usando modelagem por Wavelet-Packets para classificação de patologias da laringe.</t>
  </si>
  <si>
    <t>339/2012</t>
  </si>
  <si>
    <t>Alexandre Rossi Paschoal</t>
  </si>
  <si>
    <t>Topologias de redes de regulação de miRNA</t>
  </si>
  <si>
    <t>340/2012</t>
  </si>
  <si>
    <t>Luciano Tadeu Esteves Pansanato</t>
  </si>
  <si>
    <t>Pesquisa e Desenvolvimento de Alternativas de Representação e Interação para Acesso e Manipulação de Diagramas por Pessoas com Deficiência Visual</t>
  </si>
  <si>
    <t>341/2012</t>
  </si>
  <si>
    <t>Eliana Aparecida Fagundes Queiroz Bortolozo</t>
  </si>
  <si>
    <t>Qualidade das refeições de empresas cadastradas no Programa de Alimentação do Trabalhador do Estado do Paraná</t>
  </si>
  <si>
    <t>342/2012</t>
  </si>
  <si>
    <t>Adriano Lopes Romero</t>
  </si>
  <si>
    <t>Síntese e avalição das atividades antirretroviral, inseticida e anti-fitopatogênica de análogos estruturais do acetato de 1 S-1 - Acetoxieugenol.</t>
  </si>
  <si>
    <t>343/2012</t>
  </si>
  <si>
    <t>Cristiano Kreutz</t>
  </si>
  <si>
    <t>Estudo da cinética de remoção de carga orgânica e nitrogenada e do comportamento hidrodinâmico de um reator combinado anaeróbio-aeróbio de leito fixo tratando efluente bovino</t>
  </si>
  <si>
    <t>344/2012</t>
  </si>
  <si>
    <t>Igor Fabio Steinchmacher</t>
  </si>
  <si>
    <t>Análise de redes sociais de desenvolvedores para predição de bugs em projetos de software</t>
  </si>
  <si>
    <t>345/2012</t>
  </si>
  <si>
    <t>Alessandro Kraemer</t>
  </si>
  <si>
    <t>Construção de Modelo Tecnológico para Implantação de Computação nas Nuvens</t>
  </si>
  <si>
    <t>19/062012</t>
  </si>
  <si>
    <t>346/2012</t>
  </si>
  <si>
    <t>Idemir Citadin</t>
  </si>
  <si>
    <t>Melhoramento genético de pessegueiro para regiões subtropicais</t>
  </si>
  <si>
    <t>347/2012</t>
  </si>
  <si>
    <t>Miguel Angelo Perondi</t>
  </si>
  <si>
    <t>Trajetória da diversificação dos meios de vida dos agricultores de Itapejara d´Oeste (PR) entre 2005 e 2010.</t>
  </si>
  <si>
    <t>348/2012</t>
  </si>
  <si>
    <t>Michelangelo Muzeli Trezzi</t>
  </si>
  <si>
    <t>Mecanismos de Tolerância e Resposta ao Glyphosate em Populações de corda-de-viola (Ipomoea spp.) da Região Sudoeste do Paraná</t>
  </si>
  <si>
    <t>349/2012</t>
  </si>
  <si>
    <t>Domingos Leite Lima Filho</t>
  </si>
  <si>
    <t>Expansão e reconfiguração institucional da educação profissional e tecnológica no Estado do Paraná: concepções, programas e ações</t>
  </si>
  <si>
    <t>350/2012</t>
  </si>
  <si>
    <t>Marcelo de Oliveira Rosa</t>
  </si>
  <si>
    <t>Processamento de sinais e reconhecimento de padrões aplicado a identificação de doenças da laringe</t>
  </si>
  <si>
    <t>351/2012</t>
  </si>
  <si>
    <t>Joaquim Miguel Maia</t>
  </si>
  <si>
    <t>Ultrassom aplicado na avaliação de danos à madeira</t>
  </si>
  <si>
    <t>352/2012</t>
  </si>
  <si>
    <t>José Luis Fabris</t>
  </si>
  <si>
    <t>Sensores Nano-Fotônicos em Fibra Ótica</t>
  </si>
  <si>
    <t>18/062014</t>
  </si>
  <si>
    <t>353/2012</t>
  </si>
  <si>
    <t>Alceu André Badin</t>
  </si>
  <si>
    <t>Estudo e desenvolvimento do processamento otimizado da energia elétrica proveniente de geradores eólicos de baixa potência.</t>
  </si>
  <si>
    <t>354/2012</t>
  </si>
  <si>
    <t>Leyza Elmeri Baldo Dorini</t>
  </si>
  <si>
    <t>Desenvolvimento de métodos computacionais baseados em processamento de imagens para reconhecimento de padrões em aplicações industriais</t>
  </si>
  <si>
    <t>355/2012</t>
  </si>
  <si>
    <t>Pedro Miguel Gewehr</t>
  </si>
  <si>
    <t>Estudo comparativo da aplicação de agente de contraste oral negativo e de um suco adequado para exames de colangiopancreatografia por ressonância magnética nuclear</t>
  </si>
  <si>
    <t>356/2012</t>
  </si>
  <si>
    <t>UNILA</t>
  </si>
  <si>
    <t>Luciano Calheiros Lapas</t>
  </si>
  <si>
    <t>Difusão e conversão de energia em sistemas complexos nanoestruturados</t>
  </si>
  <si>
    <t>357/2012</t>
  </si>
  <si>
    <t>Tratamento microbiológico do efluente gerado pela indústria de biodiesel</t>
  </si>
  <si>
    <t>358/2012</t>
  </si>
  <si>
    <t>UENP CLM</t>
  </si>
  <si>
    <t>Liza Ogawa</t>
  </si>
  <si>
    <t>Ocorrência de enteroparasitas, com ênfase em Cryptosporidium spp e Giardia spp, em lodo de esgoto bruto e tratado da Estação de Tratamento de Esgoto, Bandeirantes-PR</t>
  </si>
  <si>
    <t>359/2012</t>
  </si>
  <si>
    <t>Carla Gomes de Araújo</t>
  </si>
  <si>
    <t>Modo de uso do espaço e composição de um grupo de primatas do gênero Alouatta no Parque Estadual da Mata São Francisco, região Norte do Paraná</t>
  </si>
  <si>
    <t>360/2012</t>
  </si>
  <si>
    <t>Flávio Haragushiku Otomura</t>
  </si>
  <si>
    <t>Caracterização de áreas com potenciais riscos para infestação de carrapatos e transmissão de rickettsias no Estado do Paraná</t>
  </si>
  <si>
    <t>361/2012</t>
  </si>
  <si>
    <t>Simone Cristina Castanho Sabaini de Melo</t>
  </si>
  <si>
    <t>Ocorrência de infecções ginecológicas em gestantes</t>
  </si>
  <si>
    <t>362/2012</t>
  </si>
  <si>
    <t>Bruno Ambrozio Galindo</t>
  </si>
  <si>
    <t>Análise genética de Hypostomus ancistroides coletados no Rio Laranjinha  (Bacia do Rio das Cinzas) – PARANÁ</t>
  </si>
  <si>
    <t>363/2012</t>
  </si>
  <si>
    <t>Gelson Biscaia de Souza</t>
  </si>
  <si>
    <t>Bioatividade versus qualidade tribo-mecânica em superfícies de Ti modificadas por oxidação anódica, imersão em plasma e PIII</t>
  </si>
  <si>
    <t>364/2012</t>
  </si>
  <si>
    <t>Wilson Massamitu Furuya</t>
  </si>
  <si>
    <t>Planos nutricionais com níveis de proteína e de suplementação de aminoácidos em dietas para o bagre-do-canal (Ictalurus punctatus) para o desenvolvimento da agricultura familiar sustentável na região dos Campos Gerais</t>
  </si>
  <si>
    <t>365/2012</t>
  </si>
  <si>
    <t>Leticia Fraga</t>
  </si>
  <si>
    <t>Políticas educacionais e ensino de língua em Mangueirinha/PR: revitalização sociocultural e linguística da identidade Kaingang</t>
  </si>
  <si>
    <t>366/2012</t>
  </si>
  <si>
    <t>Maria Magdalena Ribas Doll</t>
  </si>
  <si>
    <t xml:space="preserve">Avaliação tecnológica da adição de lodo de estação de tratamento de água  no  desempenho de reator anaeróbio de lado fluidizado tratando esgoto sanitário </t>
  </si>
  <si>
    <t>367/2012</t>
  </si>
  <si>
    <t>Marcos Pileggi</t>
  </si>
  <si>
    <t>Utilização da biorremediação como estratégia para diminuição de níveis de herbicidas em solo na transição entre diferentes culturas agrícolas</t>
  </si>
  <si>
    <t>368/2012</t>
  </si>
  <si>
    <t>Cláudio Luiz DeNipoti</t>
  </si>
  <si>
    <t>Palavra impressa e palavra escrita: o texto científico no Iluminismo Português</t>
  </si>
  <si>
    <t>369/2012</t>
  </si>
  <si>
    <t>Daniel Fernandes</t>
  </si>
  <si>
    <t>Efeito de um inibidor seletivo para COX-2 sobre o infarto miocárdico induzido por isoprenalina em ratos com periodontite</t>
  </si>
  <si>
    <t>370/2012</t>
  </si>
  <si>
    <t>Andressa Novatski</t>
  </si>
  <si>
    <t>Caracterização das propriedades térmicas e espectroscópicas de vidros aluminosilicato de cálcio dopados com MnO2</t>
  </si>
  <si>
    <t>371/2012</t>
  </si>
  <si>
    <t>Roberta Ferreira Artoni</t>
  </si>
  <si>
    <t>Biologia comparada de Astyanax scabripinnis: aspectos morfológicos, cariotípicos e presença de cromossomos B</t>
  </si>
  <si>
    <t>372/2012</t>
  </si>
  <si>
    <t>Francisco Carlos Serbena</t>
  </si>
  <si>
    <t>Mecanismos de Reforço por Cristalização em Materiais Vitrocerâmicos</t>
  </si>
  <si>
    <t>373/2012</t>
  </si>
  <si>
    <t>Joseli Maria Silva</t>
  </si>
  <si>
    <t>O mapeamento do espaço das mulheres paranaenses nas redes de financiamento das eleições de 2008 e 2010 no Brasil</t>
  </si>
  <si>
    <t>374/2012</t>
  </si>
  <si>
    <t>Fábio Anibal Jara Goiris</t>
  </si>
  <si>
    <t>Análise histomorfométrica das respostas biológicas após utilização de hidroxiapatita pura – Uepg e hidroxiapatita-colágeno – Uepg em submucosa, calota craniana e defeitos ósseos ao redor de implantes: estudo em ratos</t>
  </si>
  <si>
    <t>375/2012</t>
  </si>
  <si>
    <t>Carlos Henrique Ferreira Camargo</t>
  </si>
  <si>
    <t>Avaliação do fluxo arterial cerebral através de Doppler transcraniano em pacientes com doença de Parkinson e hipotensão postural.</t>
  </si>
  <si>
    <t>376/2012</t>
  </si>
  <si>
    <t>Mary Ângela Teixeira Brandalise</t>
  </si>
  <si>
    <t>Avaliação dos Cursos de Graduação na perspectiva dos Egressos: um indicador da avaliação institucional</t>
  </si>
  <si>
    <t>377/2012</t>
  </si>
  <si>
    <t>Cassiano Ricardo Rech</t>
  </si>
  <si>
    <t>Percepção de barreiras pessoais, sociais e ambientais para a prática de atividade física em indivíduos obesos: análise qualitativa por meio de grupos focais</t>
  </si>
  <si>
    <t>378/2012</t>
  </si>
  <si>
    <t>Marcelo Ricardo Vicari</t>
  </si>
  <si>
    <t>Estudo da diferenciação dos cromossomos sexuais em Parodontidae</t>
  </si>
  <si>
    <t>379/2012</t>
  </si>
  <si>
    <t>Ivo Mottin Demiate</t>
  </si>
  <si>
    <t>Obtenção e caracterização de amido de feijão comum (Phaseolus vulgaris L.) e avaliação de misturas com amido de mandioca (Manihot esculenta C.)</t>
  </si>
  <si>
    <t>380/2012</t>
  </si>
  <si>
    <t>Rodrigo Rodrigues Matiello</t>
  </si>
  <si>
    <t>Herança da resistência e mapeamento molecular de genes de resistência à antracnose foliar em milho tropical</t>
  </si>
  <si>
    <t>381/2012</t>
  </si>
  <si>
    <t>Tathiane Milaré</t>
  </si>
  <si>
    <t>O lugar da Química no Ensino Fundamental: um diagnóstico do Ensino de Ciências do nono ano em escolas de Ponta Grossa/PR</t>
  </si>
  <si>
    <t>382/2012</t>
  </si>
  <si>
    <t>Adriana Scoton Antonio  Chinelatto</t>
  </si>
  <si>
    <t>Compósito nanoestruturado de alumina-zircônia para prótese odontológica</t>
  </si>
  <si>
    <t>383/2012</t>
  </si>
  <si>
    <t>Maria Isabel Moura Nascimento</t>
  </si>
  <si>
    <t>Reconstrução Histórica da Educação em Comunidades Quilombolas do Paraná</t>
  </si>
  <si>
    <t>384/2012</t>
  </si>
  <si>
    <t>Luciana Furlaneto</t>
  </si>
  <si>
    <t>Multi Resistência de Enterococcus sp isolado de alimento e Co-Transferencia de genes de resistência.</t>
  </si>
  <si>
    <t>385/2012</t>
  </si>
  <si>
    <t>Sandro Aurélio de Souza Venter</t>
  </si>
  <si>
    <t>Cerâmicas Organicamente Modificadas para Aplicação em Resinas para Restauração Dentária</t>
  </si>
  <si>
    <t>386/2012</t>
  </si>
  <si>
    <t>André Luis Trevisan</t>
  </si>
  <si>
    <t>Avaliação da aprendizagem em ensino de ciências da natureza e matemática</t>
  </si>
  <si>
    <t>387/2012</t>
  </si>
  <si>
    <t>Graciana Freitas Palioto</t>
  </si>
  <si>
    <t>Análise da antimutagenicidade de extratos brutos e frações semipurificadas de folhas e frutos de Morinda citrifolia L. (noni) pelo teste de Ames</t>
  </si>
  <si>
    <t>388/2012</t>
  </si>
  <si>
    <t>Flávia Gizele Konig Brun</t>
  </si>
  <si>
    <t>Avaliação do potencial de espécies arbóreas  para melhoria da qualidade climática  de centros urbanos</t>
  </si>
  <si>
    <t>389/2012</t>
  </si>
  <si>
    <t>Américo Wagner Júnior</t>
  </si>
  <si>
    <t>Caracterização e inserção de fruteiras nativas no complexo produtivo do Sudoeste do Paraná</t>
  </si>
  <si>
    <t>390/2012</t>
  </si>
  <si>
    <t>Everton Ricardi Lozano da Silva</t>
  </si>
  <si>
    <t>Bioatividade de extratos vegetais sobre parâmetros biológicos de Anticarsia gemmatalis e organismos não alvo e o potencial como indutores de resistência em soja</t>
  </si>
  <si>
    <t>391/2012</t>
  </si>
  <si>
    <t>Alessandro Jaquiel Waclawovsky</t>
  </si>
  <si>
    <t>Avaliação do potencial agronômico de crambe para o Sudoeste do Paraná</t>
  </si>
  <si>
    <t>392/2012</t>
  </si>
  <si>
    <t>Larissa Kummer</t>
  </si>
  <si>
    <t>Remediação de Solos Contaminados por Metais Pesados Usando Biossurfactante Produzido a partir de Resíduo Agroindustrial</t>
  </si>
  <si>
    <t>393/2012</t>
  </si>
  <si>
    <t>FUNTEF MD</t>
  </si>
  <si>
    <t>Rodnny Jesus Mendoza Fakhye</t>
  </si>
  <si>
    <t>Modelagem de Treliças Planas com Não Linearidade Geométrica e de Material</t>
  </si>
  <si>
    <t>394/2012</t>
  </si>
  <si>
    <t>Lygia Vitoria Galli Terasaswa</t>
  </si>
  <si>
    <t>Bioprospecção de bactérias endófíticas isoladas de milho (Zea mays L.) e identificação de isolados potencialmente promotores de crescimento, fixadores de  N2  e bioantagônicos</t>
  </si>
  <si>
    <t>395/2012</t>
  </si>
  <si>
    <t>Thelma Alvim Veiga Ludwig</t>
  </si>
  <si>
    <t>Inventário florístico de macrófitas e diatomáceas associadas e seleção de potenciais bioindicadores do nível trófico de reservatórios da Bacia do Rio Iguaçu.</t>
  </si>
  <si>
    <t>396/2012</t>
  </si>
  <si>
    <t>Carlos Nozawa</t>
  </si>
  <si>
    <t>III Encontro Paranaense de Microbiologia</t>
  </si>
  <si>
    <t>397/2012</t>
  </si>
  <si>
    <t>Jorge Antonio Silva Centeno</t>
  </si>
  <si>
    <t>Realidade aumentada para pesquisas populacionais</t>
  </si>
  <si>
    <t>398/2012</t>
  </si>
  <si>
    <t>Andréa Maria Fedeger</t>
  </si>
  <si>
    <t>Estudo descritivo do desempenho em dirigir automóveis de pessoas com diagnóstico de doença de Parkinson</t>
  </si>
  <si>
    <t>399/2012</t>
  </si>
  <si>
    <t>Shirley Nakagaki</t>
  </si>
  <si>
    <t>Preparação de novos materiais catalíticos para processos heterogêneos de catálise diversos baseados em complexos de metais de transição altamente reativos</t>
  </si>
  <si>
    <t>400/2012</t>
  </si>
  <si>
    <t>Vânia Oliveira de Carvalho</t>
  </si>
  <si>
    <t>Dermatite na região de contato com o vaso sanitário – avaliação clínico laboratorial</t>
  </si>
  <si>
    <t>401/2012</t>
  </si>
  <si>
    <t>César de Castro Martins</t>
  </si>
  <si>
    <t>Marcadores orgânicos geoquímicos como indicadores de processos naturais e antrópicos na Baia de Guaratuba, PR.</t>
  </si>
  <si>
    <t>402/2012</t>
  </si>
  <si>
    <t>Ciro Alberto de Oliveira Ribeiro</t>
  </si>
  <si>
    <t>Aplicação de Ferramentas Moleculares na identificação da Presença de Poluentes Desreguladores Endócrinos em Águas de Abastecimento Público</t>
  </si>
  <si>
    <t>403/2012</t>
  </si>
  <si>
    <t>Fabiane Machado Vezzani</t>
  </si>
  <si>
    <t>Qualidade do Solo em Sistemas de Produção Agrícola de Base Ecológica</t>
  </si>
  <si>
    <t>404/2012</t>
  </si>
  <si>
    <t>Rosangela Locatelli Dittrich</t>
  </si>
  <si>
    <t>Corticoterapia e uso de células-tronco em ratos submetidos à lesão raquimedular</t>
  </si>
  <si>
    <t>405/2012</t>
  </si>
  <si>
    <t>Andersson Barison</t>
  </si>
  <si>
    <t>Desenvolvimento de um novo método para a determinação da percentagem de biodiesel no diesel através de RMN de baixo campo</t>
  </si>
  <si>
    <t>406/2012</t>
  </si>
  <si>
    <t>Rodrigo Perito Cardoso</t>
  </si>
  <si>
    <t>Avaliação da resistência à corrosão e ao desgaste do aço inoxidável AISI420 cementado a baixa temperatura</t>
  </si>
  <si>
    <t>407/2012</t>
  </si>
  <si>
    <t>Olga Meiri Chaim</t>
  </si>
  <si>
    <t>Bioprospecção de toxinas do veneno da aranha-marrom: estudo funcional de fosfolipases-D recombinantes.</t>
  </si>
  <si>
    <t>408/2012</t>
  </si>
  <si>
    <t>Neiva Leite</t>
  </si>
  <si>
    <t>Efeito do treinamento combinado associado à orientação nutricional nos parâmetros inflamatórios, pulmonares e hiperresponsividade brônquica de adolescentes asmáticos obesos e eutróficos</t>
  </si>
  <si>
    <t>409/2012</t>
  </si>
  <si>
    <t>Anderson Luiz de Carvalho</t>
  </si>
  <si>
    <t>Avaliação do uso da mata-ciliar do Rio Açú como corredor ecológico por mamíferos silvestres não voadores e seus perfis sanitários</t>
  </si>
  <si>
    <t>410/2012</t>
  </si>
  <si>
    <t>Adaucto Bellarmino de Pereira Netto</t>
  </si>
  <si>
    <t>Identificação de frutos nativos da floresta atlântica com potencial de maior utilização pela população e pela indústria: controle do amadurecimento e análise de características bioquímicas e nutracêuticas de importância para a sua conservação e comercialização</t>
  </si>
  <si>
    <t>411/2012</t>
  </si>
  <si>
    <t>Lia Sumie Nakao</t>
  </si>
  <si>
    <t>Efeitos e mecanismos de atuação do ácido alfa-lipóico no modelo experimental da doença renal crônica</t>
  </si>
  <si>
    <t>412/2012</t>
  </si>
  <si>
    <t>Waldemiro Gremski</t>
  </si>
  <si>
    <t>Toxinas inseticidas do veneno da aranha-marrom (Loxosceles intermedia): Da Clonagem às análises funcionais e estruturais.</t>
  </si>
  <si>
    <t>413/2012</t>
  </si>
  <si>
    <t>Joel Gustavo Teleken</t>
  </si>
  <si>
    <t>Otimização da Produção de Bioetanol em Planta Piloto, avaliando variedade de cana-de-açúcar, biofertilizantes naturais e parâmetros operacionais do processo</t>
  </si>
  <si>
    <t>414/2012</t>
  </si>
  <si>
    <t>Walter Antonio Pereira Boeger</t>
  </si>
  <si>
    <t>Aplicando ferramentas da ecologia molecular para fundamentar estratégias de mitigação e convervação de ictiofauna: estudo no rio jordão, Paraná.</t>
  </si>
  <si>
    <t>415/2012</t>
  </si>
  <si>
    <t>Rose Meri Trojan</t>
  </si>
  <si>
    <t>O aporte das pesquisas internacionais de avaliação do ensino e da aprendizagem na educação brasileira e as políticas públicas de formação e trabalho docente</t>
  </si>
  <si>
    <t>416/2012</t>
  </si>
  <si>
    <t>Silvio Sanches Veiga</t>
  </si>
  <si>
    <t>Estudo funcional e estrutural de toxinas recombinantes do veneno de aranhas do Gênero Loxosceles (Aranha Marrom)</t>
  </si>
  <si>
    <t>417/2012</t>
  </si>
  <si>
    <t>Silvio Marques Zanata</t>
  </si>
  <si>
    <t>Papel da deubiquitinase USP2a na regulação do receptor de EGF em tumores de próstata e pulmão.</t>
  </si>
  <si>
    <t>418/2012</t>
  </si>
  <si>
    <t>Jeferson Dieckow</t>
  </si>
  <si>
    <t>Avaliação de estratégias de mitigação de gases de efeito estufa a partir do solo em sistemas de produção agropecuária no Paraná</t>
  </si>
  <si>
    <t>419/2012</t>
  </si>
  <si>
    <t>Marlio J. Couto Bonfim</t>
  </si>
  <si>
    <t>Veículo Aéreo não-Tripulado para Monitoramento de Áreas Agrícolas</t>
  </si>
  <si>
    <t>420/2012</t>
  </si>
  <si>
    <t>Jonathan Dieter</t>
  </si>
  <si>
    <t>Poluição difusa das águas superficiais causada pela aplicação de água residuária da suinocultura e adubação mineral na cultura do milho (Zea mays L.) sob condições de chuva simulada</t>
  </si>
  <si>
    <t>421/2012</t>
  </si>
  <si>
    <t>Rose Adele Monteiro</t>
  </si>
  <si>
    <t>Importância da Biossíntese de Celulose na Interação entre a bactéria Herbaspirillum rubrisubalbicans M1 e Gramineas.</t>
  </si>
  <si>
    <t>422/2012</t>
  </si>
  <si>
    <t>Cyntia Maria Telles Fadel Picheth</t>
  </si>
  <si>
    <t>Caracterização genômica de estirpe diarreiogênica de Aeromonas caviae, bactéria prevalente em pacientes com diarreia atendidos pelo SUS em Curitiba, utilizando pirosequenciamento de alta produtividade</t>
  </si>
  <si>
    <t>423/2012</t>
  </si>
  <si>
    <t>Carmem Satie Hara</t>
  </si>
  <si>
    <t>Distribuição de Dados na Nuvem</t>
  </si>
  <si>
    <t>424/2012</t>
  </si>
  <si>
    <t>Paulo da Cunha Lana</t>
  </si>
  <si>
    <t>Disponibilidade e formas de uso da madeira em manguezais da Baía de Paranaguá (Paraná, Brasil)</t>
  </si>
  <si>
    <t>425/2012</t>
  </si>
  <si>
    <t>Adriano Scheid</t>
  </si>
  <si>
    <t>Desenvolvimento de Aços API revestidos pela técnica de Plasma com Arco Transferido – PTA para componentes de unidades de exploração de petróleo convencionais e pré-sal</t>
  </si>
  <si>
    <t>426/2012</t>
  </si>
  <si>
    <t>Carlos Ricardo Soccol</t>
  </si>
  <si>
    <t>Produção de metabólitos secundários de plantas de interesse medicinal, entre outros, a partir de linhagens de células e calos cultivadas em biorreator de bolhas</t>
  </si>
  <si>
    <t>427/2012</t>
  </si>
  <si>
    <t>Newton Sérgio de Carvalho</t>
  </si>
  <si>
    <t>Vulnerabilidades às Doenças Sexualmente Transmissíveis, Infecção pelo HIV/Aids e Gravidez não Planejada entre Estudantes Universitários</t>
  </si>
  <si>
    <t>428/2012</t>
  </si>
  <si>
    <t>Fernanda de Castilhos</t>
  </si>
  <si>
    <t>Recuperação de Aromas de Café Solúvel pelo Processo de Pervaporação</t>
  </si>
  <si>
    <t>429/2012</t>
  </si>
  <si>
    <t>Fernando de Camargo Passos</t>
  </si>
  <si>
    <t>A Evolução do Comportamento Cooperativo no Quero-quero</t>
  </si>
  <si>
    <t>430/2012</t>
  </si>
  <si>
    <t>Jackson Gois da Silva</t>
  </si>
  <si>
    <t>Elaboração de significados no curso de licenciatura em Química</t>
  </si>
  <si>
    <t>431/2012</t>
  </si>
  <si>
    <t>Vivianne de Castilho Moreira</t>
  </si>
  <si>
    <t>O conhecimento das definições em Leibniz e Aristóteles</t>
  </si>
  <si>
    <t>432/2012</t>
  </si>
  <si>
    <t>Maria Luiza Petzl-Erler</t>
  </si>
  <si>
    <t>Implicações funcionais da variação genética: estudos em fogo selvagem e na população geral</t>
  </si>
  <si>
    <t>433/2012</t>
  </si>
  <si>
    <t>Thales Ricardo Cipriani</t>
  </si>
  <si>
    <t>Caracterização estrutural e atividade biológica de polissacarídeos de plantas</t>
  </si>
  <si>
    <t>434/2012</t>
  </si>
  <si>
    <t>Roberto Pontarolo</t>
  </si>
  <si>
    <t>Desenvolvimento e validação de métodos por CLAE-EM/EM para determinação e monitoramento de resíduos de antimicrobianos e antiparasitários em ovos de galinha produzidos no Estado do Paraná.</t>
  </si>
  <si>
    <t>435/2012</t>
  </si>
  <si>
    <t>Ruth Janice Guse Schadeck</t>
  </si>
  <si>
    <t>Pesquisa e produção de processos e materiais didáticos em Ciências para a aplicação em escolas do PROUCA</t>
  </si>
  <si>
    <t>436/2012</t>
  </si>
  <si>
    <t>Michele Nogueira Lima</t>
  </si>
  <si>
    <t>Desenvolvendo redes de comunicação sem fio cooperativas robustas e à um baixo consumo energético</t>
  </si>
  <si>
    <t>437/2012</t>
  </si>
  <si>
    <t>Câmara de evaporação dedicada ao estudo de heteroestruturas monocristalinas ferromagnéticas de baixa dimensionalidade crescidas por epitaxia de feixe molecular</t>
  </si>
  <si>
    <t>438/2012</t>
  </si>
  <si>
    <t>Alexandra Acco</t>
  </si>
  <si>
    <t>Avaliação dos efeitos antidiabetogênicos de extratos de Bauhinia fortificata</t>
  </si>
  <si>
    <t>440/2012</t>
  </si>
  <si>
    <t>Mecanismo de ação da Heparina no estimulo da síntese do proteoglicanos de Hepirana sulfato pelas células endoteliais.</t>
  </si>
  <si>
    <t>441/2012</t>
  </si>
  <si>
    <t>Chirlei Glienke</t>
  </si>
  <si>
    <t>Estudo do processo de infecção e colonização do fungo Phyllosticta citricarpa e controle biológico do agente causal da Mancha Preta dos Citros</t>
  </si>
  <si>
    <t>442/2012</t>
  </si>
  <si>
    <t>Maria Lucia Leite Ribeiro Okimoto</t>
  </si>
  <si>
    <t>Diretrizes para a certificação de dispositivos de controles de produtos com enfoque na segurança, usabilidade e intuitividade do usuário para contexto de emergência.</t>
  </si>
  <si>
    <t>444/2012</t>
  </si>
  <si>
    <t>Patricio Guillermo Peralta Zamora</t>
  </si>
  <si>
    <t>Estratégias avançadas para a remediação de resíduos e de matrizes ambientais contaminadas</t>
  </si>
  <si>
    <t>445/2012</t>
  </si>
  <si>
    <t>Epistemologia da Geografia Contemporânea: Estruturação, particularidades, desafios e tendências da “Geografia ambiental”</t>
  </si>
  <si>
    <t>446/2012</t>
  </si>
  <si>
    <t>Maria Aparecida Cassilha Zawadneak</t>
  </si>
  <si>
    <t>Bioecologia e Mapeamento da ocorrência de Duponchelia fovealis Zeller (Lepidoptera: Crambidae) na cultura do morangueiro no Estado do Paraná</t>
  </si>
  <si>
    <t>447/2012</t>
  </si>
  <si>
    <t>Ana Cristina Camarozano Wermelinger</t>
  </si>
  <si>
    <t>Desenvolvimento de um novo agente de contraste ultrassônico produzido pela técnica de Layer-by-layer e avaliação dos efeitos sobre a microcirculação de camundongos</t>
  </si>
  <si>
    <t>448/2012</t>
  </si>
  <si>
    <t>Marionilde Dias Brepohl de Magalhaes</t>
  </si>
  <si>
    <t>Imperialismo e racismo: uma abordagem transnacional</t>
  </si>
  <si>
    <t>449/2012</t>
  </si>
  <si>
    <t>André Acastro Egg</t>
  </si>
  <si>
    <t>I Congresso de Música, História e Política</t>
  </si>
  <si>
    <t>450/2012</t>
  </si>
  <si>
    <t>FAFIPA</t>
  </si>
  <si>
    <t>Isabela Candeloro Campoi</t>
  </si>
  <si>
    <t>XV Seminário de História: Paraná: História das lutas e resistências no século XX.</t>
  </si>
  <si>
    <t>451/2012</t>
  </si>
  <si>
    <t>Emerson Carraro</t>
  </si>
  <si>
    <t>I Simpósio de Pós-Graduação em Ciências Farmacêuticas Associação Ampla.</t>
  </si>
  <si>
    <t>452/2012</t>
  </si>
  <si>
    <t>Maria Auxiliadora Moreira dos Santos Schmidt</t>
  </si>
  <si>
    <t>XII Congresso das Jornadas Internacionais da Educação Histórica e IX conferência Internacional da Associação de Pesquisadores em Educação Histórica.</t>
  </si>
  <si>
    <t>453/2012</t>
  </si>
  <si>
    <t>Ricardo Ralisch</t>
  </si>
  <si>
    <t>XCLIA / XLI Congresso Brasileiro de Engenharia Agrícola.</t>
  </si>
  <si>
    <t>454/2012</t>
  </si>
  <si>
    <t>Olga Regina Pereira Bellon</t>
  </si>
  <si>
    <t>XXXII Congresso da Sociedade Brasileira de Computação (CSBC 2012).</t>
  </si>
  <si>
    <t>455/2012</t>
  </si>
  <si>
    <t>HPP</t>
  </si>
  <si>
    <t>Libera Maria Dalla Costa</t>
  </si>
  <si>
    <t>Simpósio Internacional de Tuberculose</t>
  </si>
  <si>
    <t>456/2012</t>
  </si>
  <si>
    <t>Sergio Monteiro de Almeida</t>
  </si>
  <si>
    <t>Simpósio do Dep. Científico de Liquido Cefalorraquidiano da Academia Brasileira de Neurologia.</t>
  </si>
  <si>
    <t>457/2012</t>
  </si>
  <si>
    <t>Rosali Brusamarello</t>
  </si>
  <si>
    <t>XXII Escola de Algebra</t>
  </si>
  <si>
    <t>458/2012</t>
  </si>
  <si>
    <t>Altair Bertonha</t>
  </si>
  <si>
    <t>International Conference of Agricultural and Biosystems Engineering (CIGR)</t>
  </si>
  <si>
    <t>459/2012</t>
  </si>
  <si>
    <t>Lucielli Maria Trivizoli da Silvia</t>
  </si>
  <si>
    <t>12th Internacional Congress on Mathematical Education</t>
  </si>
  <si>
    <t>460/2012</t>
  </si>
  <si>
    <t>Nelson Nardo Júnior</t>
  </si>
  <si>
    <t>3nd International Congress on Abdominal Obesity</t>
  </si>
  <si>
    <t>461/2012</t>
  </si>
  <si>
    <t>Fábio Matheus Amorin Natali</t>
  </si>
  <si>
    <t>The 9th American Intitute of Mathematical Sciences (AIMS) Conference on Dynamical Systems, Differential Equations and Applications</t>
  </si>
  <si>
    <t>462/2012</t>
  </si>
  <si>
    <t>Maria Aparecida Leopoldino Tursi Toledo</t>
  </si>
  <si>
    <t>VII encontro nacional perspectivas do ensino de História e III encontro ibero-americano de ensino de História</t>
  </si>
  <si>
    <t>463/2012</t>
  </si>
  <si>
    <t>Karin Schwabe Meneguetti</t>
  </si>
  <si>
    <t>PNUM 2012: Morfologia Urbana nos Países Lusófonos</t>
  </si>
  <si>
    <t>464/2012</t>
  </si>
  <si>
    <t>2ª Conferência da rede Portuguesa de Morfologia Urbana</t>
  </si>
  <si>
    <t>465/2012</t>
  </si>
  <si>
    <t>Vera Helena Gomes Wielewicki</t>
  </si>
  <si>
    <t>XXVII Encontro da Associação Nacional de Pós-Graduação e Pesquisa em Letras e Linguística</t>
  </si>
  <si>
    <t>466/2012</t>
  </si>
  <si>
    <t>Terezinha Oliveira</t>
  </si>
  <si>
    <t>IX Congresso Luso Brasileiro de História da Educação: Rituais, patrimônios e espaços escolares</t>
  </si>
  <si>
    <t>467/2012</t>
  </si>
  <si>
    <t>Célio Juvenal Costa</t>
  </si>
  <si>
    <t>468/2012</t>
  </si>
  <si>
    <t>Érica Zancanella Fornaroli</t>
  </si>
  <si>
    <t>469/2012</t>
  </si>
  <si>
    <t>Maria Ednéia Martins Salandim</t>
  </si>
  <si>
    <t>XXVI Reunião Latino Americana de Matemática Educativa – XXVI RELME</t>
  </si>
  <si>
    <t>470/2012</t>
  </si>
  <si>
    <t>Ivan Moreira</t>
  </si>
  <si>
    <t>2012 Joint Annual Meeting (JAM) -  ADSA-AMPA-ASAS-CSAS-WSASAS</t>
  </si>
  <si>
    <t>471/2012</t>
  </si>
  <si>
    <t>Roberto Rezende</t>
  </si>
  <si>
    <t>CLIA / 2012 – X Congresso Latinoamericano y del Caribe de Ingeniería Agricola</t>
  </si>
  <si>
    <t>472/2012</t>
  </si>
  <si>
    <t>Flávio Apro</t>
  </si>
  <si>
    <t>41. Internationales Gitarrenseminar Reisbach</t>
  </si>
  <si>
    <t>473/2012</t>
  </si>
  <si>
    <t>Alexandre Botari</t>
  </si>
  <si>
    <t>XII Safety, Health and Environment World Congress – SHEWC'2012</t>
  </si>
  <si>
    <t>474/2012</t>
  </si>
  <si>
    <t>Simara Márcia Marcato</t>
  </si>
  <si>
    <t>XXIV World's Poultry Congress</t>
  </si>
  <si>
    <t>475/2012</t>
  </si>
  <si>
    <t>Adélia Aparecida de Souza Haracenko</t>
  </si>
  <si>
    <t>XVII Encontro Nacional de Geógrafos</t>
  </si>
  <si>
    <t>476/2012</t>
  </si>
  <si>
    <t>Celso Vataru Nakamura</t>
  </si>
  <si>
    <t>International Congress on Natural Products Research 2012</t>
  </si>
  <si>
    <t>477/2012</t>
  </si>
  <si>
    <t>Norma Catarina Bueno</t>
  </si>
  <si>
    <t>XVI Congresso da Sociedade Ibérica de Limnologia</t>
  </si>
  <si>
    <t>478/2012</t>
  </si>
  <si>
    <t>s/n</t>
  </si>
  <si>
    <t>Julia Malanchen</t>
  </si>
  <si>
    <t>01/2009 PCD</t>
  </si>
  <si>
    <t>Produção e difusão da cultura humana: Análise comparativa entre o marxismo e o multiculturalismo</t>
  </si>
  <si>
    <t>479/2012</t>
  </si>
  <si>
    <t>Jane Martha Graton Mikcha</t>
  </si>
  <si>
    <t>16° World Congress of Food Science and Technology</t>
  </si>
  <si>
    <t>480/2012</t>
  </si>
  <si>
    <t>Apoio à participação no XLV Congresso Brasileiro de Fitopatologia</t>
  </si>
  <si>
    <t>481/2012</t>
  </si>
  <si>
    <t xml:space="preserve">UNIOESTE </t>
  </si>
  <si>
    <t>482/2012</t>
  </si>
  <si>
    <t>Simone Damasceno Gomes</t>
  </si>
  <si>
    <t>483/2012</t>
  </si>
  <si>
    <t>16th World Congress of Food Science and Technology - IUFoST.</t>
  </si>
  <si>
    <t>484/2012</t>
  </si>
  <si>
    <t>Nyamien Yahaut Sebastien</t>
  </si>
  <si>
    <t>XIV Congresso Brasileiro de Ficologia</t>
  </si>
  <si>
    <t>485/2012</t>
  </si>
  <si>
    <t>Jefferson Andronio Ramundo Staduto</t>
  </si>
  <si>
    <t>54º Congresso Internacional de Americanistas</t>
  </si>
  <si>
    <t>486/2012</t>
  </si>
  <si>
    <t>Yonissa Marmitt Wadi</t>
  </si>
  <si>
    <t>487/2012</t>
  </si>
  <si>
    <t>João Batista Vida</t>
  </si>
  <si>
    <t>Participação em Eventos Técnicos Científicos – 06/2012</t>
  </si>
  <si>
    <t>45 Congresso Brasileiro de Fitopatologia</t>
  </si>
  <si>
    <t>488/2012</t>
  </si>
  <si>
    <t>Luciana Paes de Barros Machado</t>
  </si>
  <si>
    <t>First Joint Congress on Evolutionary Biology</t>
  </si>
  <si>
    <t>489/2012</t>
  </si>
  <si>
    <t>Rogério Pincela Mateus</t>
  </si>
  <si>
    <t>490/2012</t>
  </si>
  <si>
    <t>III Encontro de Ciências Biológicas da Universidade Estadual de Londrina.</t>
  </si>
  <si>
    <t>491/2012</t>
  </si>
  <si>
    <t>Ana Cristina Barreiras Kochem Vendramin</t>
  </si>
  <si>
    <t>Genetic and Evolutionary Computation Conference (GECCO 2012)</t>
  </si>
  <si>
    <t>492/2012</t>
  </si>
  <si>
    <t>Angélica Signor Mendes</t>
  </si>
  <si>
    <t>493/2012</t>
  </si>
  <si>
    <t>Fabio de Freitas Lima</t>
  </si>
  <si>
    <t>VII Congresso Nacional de Engenharia Mecânica</t>
  </si>
  <si>
    <t>494/2012</t>
  </si>
  <si>
    <t>UENP CCHE</t>
  </si>
  <si>
    <t>Flávio Massami Martins Ruckstadter</t>
  </si>
  <si>
    <t>495/2012</t>
  </si>
  <si>
    <t>Marcelo do Amaral Penna-Forte</t>
  </si>
  <si>
    <t>V Jornada de Metafísica e Conhecimento - 50 Anos da Publicação de A Estrutura das Revoluções Científicas.</t>
  </si>
  <si>
    <t>496/2012</t>
  </si>
  <si>
    <t>Margaret Amaral de Andrade</t>
  </si>
  <si>
    <t>30th Isme (International Society of Music Education) Word Conference on Music Education</t>
  </si>
  <si>
    <t>497/2012</t>
  </si>
  <si>
    <t>Elisabeth Müller Seraphim Prosser</t>
  </si>
  <si>
    <t>30ª Conferência da International Society for Music Education</t>
  </si>
  <si>
    <t>499/2012</t>
  </si>
  <si>
    <t>Pedro Henrique Arruda Aragão</t>
  </si>
  <si>
    <t>Microscopy &amp; Microanalysis 2012 Meeting</t>
  </si>
  <si>
    <t>500/2012</t>
  </si>
  <si>
    <t>Claudio Leones Bazzi</t>
  </si>
  <si>
    <t>11th International Conference on Precision Agriculture</t>
  </si>
  <si>
    <t>501/2012</t>
  </si>
  <si>
    <t>Ricardo Fernandes Pátaro</t>
  </si>
  <si>
    <t>IX Seminário de Pesquisa em Educação da Região Sul – ANPED SUL: a Pós-Graduação e suas interlocuções com a educação básica</t>
  </si>
  <si>
    <t>502/2012</t>
  </si>
  <si>
    <t>Cristian Andres Ortiz Gonzales</t>
  </si>
  <si>
    <t>Poisson 2012: Poisson Geometry in Mathematics and Physics</t>
  </si>
  <si>
    <t>503/2012</t>
  </si>
  <si>
    <t>Vania Aparecida Vicente</t>
  </si>
  <si>
    <t>2nd Annual International Symposia of Mycology (ISM2012)</t>
  </si>
  <si>
    <t>504/2012</t>
  </si>
  <si>
    <t>Luis Francisco Angeli Alves</t>
  </si>
  <si>
    <t>09-2011 Bolsa Técnico</t>
  </si>
  <si>
    <t>Produtos alternativos para o controle de doença do bicho-da-seda (Bombix mori).</t>
  </si>
  <si>
    <t>505/2012</t>
  </si>
  <si>
    <t>Apoio técnico para realização de projetos de pesquisa em cromatografia líquida de alta eficiência no laboratório de análises agro-ambientais avançadas do Programa de Pós-Graduação em Engenharia Agrícola.</t>
  </si>
  <si>
    <t>506/2012</t>
  </si>
  <si>
    <t>Livia Godinho Temponi</t>
  </si>
  <si>
    <t>Informatização do herbário da Universidade Estadual do Oeste do Paraná (UNOP).</t>
  </si>
  <si>
    <t>507/2012</t>
  </si>
  <si>
    <t>Miguel Angel Uribe Opazo</t>
  </si>
  <si>
    <t>Análises de dados utilizando estatística espaciais.</t>
  </si>
  <si>
    <t>508/2012</t>
  </si>
  <si>
    <t>Controle de pragas e doenças na avicultura agroecológica através de óleos essencias e extratos vegetais.</t>
  </si>
  <si>
    <t>509/2012</t>
  </si>
  <si>
    <t>Erivelto Mercante</t>
  </si>
  <si>
    <t>Apoio técnico no desenvolvimento de pesquisas no Laboratório de Topografia e geoprocessamento (GeoLab) da UNIOESTE - Cascavel/PR.</t>
  </si>
  <si>
    <t>510/2012</t>
  </si>
  <si>
    <t>Apoio técnico para caracterização do quaternário continental do Planalto de Palmas/Água Doce.</t>
  </si>
  <si>
    <t>511/2012</t>
  </si>
  <si>
    <t>Edson Antonio da Silva</t>
  </si>
  <si>
    <t>Avaliação dos extratos de folha de acerola por diferentes e técnicas de extração não convencionais.</t>
  </si>
  <si>
    <t>512/2012</t>
  </si>
  <si>
    <t>José Renato Stangarlin</t>
  </si>
  <si>
    <t>Obtenção de formulações de extratos fúngicos e vegetais com propriedades antimicrobianas e/ou indutoras de resistência em plantas.</t>
  </si>
  <si>
    <t>513/2012</t>
  </si>
  <si>
    <t>Antônio de Pádua Bosi</t>
  </si>
  <si>
    <t>Apoio ao laboratório de Educação Continuada.</t>
  </si>
  <si>
    <t>514/2012</t>
  </si>
  <si>
    <t>Apoio técnico.</t>
  </si>
  <si>
    <t>515/2012</t>
  </si>
  <si>
    <t>Nincia Cecília Ribas Borges Teixeira</t>
  </si>
  <si>
    <t>Laboratório de Estudos Linguísticos e Literários da UNICENTRO.</t>
  </si>
  <si>
    <t>516/2012</t>
  </si>
  <si>
    <t>Bolsa técnico suporte ao laboratório de erosão do solo.</t>
  </si>
  <si>
    <t>517/2012</t>
  </si>
  <si>
    <t>Fauze Jacó Anaissi</t>
  </si>
  <si>
    <t>Apoio técnico aos equipamentos multiusuários.</t>
  </si>
  <si>
    <t>518/2012</t>
  </si>
  <si>
    <t>Bolsa técnico de laboratório institucional para apoio às pesquisas vinculadas a Programas de Pós-Graduação.</t>
  </si>
  <si>
    <t>519/2012</t>
  </si>
  <si>
    <t>Paulo Rogério Pinto Rodrigues</t>
  </si>
  <si>
    <t>520/2012</t>
  </si>
  <si>
    <t>FAFIUV</t>
  </si>
  <si>
    <t>Alcimara Aparecida Foetsch</t>
  </si>
  <si>
    <t>VII Simpósio de Geografia UNESPAR/FAFIUV: Por entre a arte, os territórios e as espacialidades.</t>
  </si>
  <si>
    <t>521/2012</t>
  </si>
  <si>
    <t>Sergei Paschuk</t>
  </si>
  <si>
    <t>Estudos de contaminação pelo Rn-222 e filhos em materiais de contrução, solo e água.</t>
  </si>
  <si>
    <t>522/2012</t>
  </si>
  <si>
    <t>Jean Carlos Cardozo da Silva</t>
  </si>
  <si>
    <t>Apoio técnico às atividades do grupo de pesquisa Engenharias de Sistemas Optoeletrônicos.</t>
  </si>
  <si>
    <t>523/2012</t>
  </si>
  <si>
    <t>Giovani Benin</t>
  </si>
  <si>
    <t>Estratégias de melhoramento genético e manejo para a remoção do platô de rendimento em trigo panificável, com ênfase à produção sustentável.</t>
  </si>
  <si>
    <t>524/2012</t>
  </si>
  <si>
    <t>Tania Maria Coelho</t>
  </si>
  <si>
    <t>Pessoal técnico especializado em montagem e aperfeiçoamento de equipamentos em laboratório de física e química para o curso de Engenharia de Produção Agroindustrial.</t>
  </si>
  <si>
    <t>525/2012</t>
  </si>
  <si>
    <t>Identificação e sequenciamento de clones BAC de Coffea arabica para clonagem de genes e integração de mapas físicos e genéticos.</t>
  </si>
  <si>
    <t>526/2012</t>
  </si>
  <si>
    <t>Stenio Perdigão Fragoso</t>
  </si>
  <si>
    <t>Caracterização de alvos moleculares para a quimioterapia da doença de Chagas</t>
  </si>
  <si>
    <t>527/2012</t>
  </si>
  <si>
    <t>Bolsa mobilidade.</t>
  </si>
  <si>
    <t>528/2012</t>
  </si>
  <si>
    <t>Alessandro Loguercio</t>
  </si>
  <si>
    <t>Laboratório Multi-usuário da UEPG 1</t>
  </si>
  <si>
    <t>529/2012</t>
  </si>
  <si>
    <t>Roberto Ferreira Artoni</t>
  </si>
  <si>
    <t>Apoio à implantação de rotina em ferramentas de expressão gênica por qRT-PCR e Microarranjos de DNA na UEPG.</t>
  </si>
  <si>
    <t>530/2012</t>
  </si>
  <si>
    <t>Laboratório multiusuário da UEPG II e Laboratório de Usinagem.</t>
  </si>
  <si>
    <t>531/2012</t>
  </si>
  <si>
    <t>Fábio André dos Santos</t>
  </si>
  <si>
    <t>Apoio técnico ao desenvolvimento de projetos de Pesquisa na análise de biomateriais utilizados em Odontologia.</t>
  </si>
  <si>
    <t>532/2012</t>
  </si>
  <si>
    <t>Ricardo Antonio Ayub</t>
  </si>
  <si>
    <t>Regulação da maturação de frutos não climatéricos.</t>
  </si>
  <si>
    <t>533/2012</t>
  </si>
  <si>
    <t>Apoio técnico para projetos do Grupo de Pesquisa Geoquímica Orgânica e Poluição Marinha - Mar e Antártica.</t>
  </si>
  <si>
    <t>534/2012</t>
  </si>
  <si>
    <t>Laboratório mde ecologia molecular e parasitologia evolutiva - Proposta Institucional: Programa Bolsa Técnico.</t>
  </si>
  <si>
    <t>535/2012</t>
  </si>
  <si>
    <t>Implicações funcionais da variação genética e epigenética: Estudos em fogo selvagem e na população geral.</t>
  </si>
  <si>
    <t>536/2012</t>
  </si>
  <si>
    <t>Taxonline - Rede Paranaense de Coleções Biológicas.</t>
  </si>
  <si>
    <t>537/2012</t>
  </si>
  <si>
    <t>Establecimento e informatização da coleção de cultura de microrganismos do LabGeM.</t>
  </si>
  <si>
    <t>538/2012</t>
  </si>
  <si>
    <t>Apoio técnico ao laboratório de Dor, inflamação, neuropatia e câncer.</t>
  </si>
  <si>
    <t>539/2012</t>
  </si>
  <si>
    <t>Ana Paula F. L. Bracarense</t>
  </si>
  <si>
    <t>Efeitos de fusariotoxinas sobre explantes intestinais de suínos: Avaliação imuno-histológica.</t>
  </si>
  <si>
    <t>540/2012</t>
  </si>
  <si>
    <t>Cláudia Bueno dos Reis Martinez</t>
  </si>
  <si>
    <t>Técnico de nível superior em ecotoxicologia para atuar junto ao Laboratório de Ecofisiologia animal da UEL.</t>
  </si>
  <si>
    <t>541/2012</t>
  </si>
  <si>
    <t>Bolsa técnico para apoio a atividades de pesquisa em Saúde Coletiva.</t>
  </si>
  <si>
    <t>542/2012</t>
  </si>
  <si>
    <t>Cultura celular e análise de moléculas e materiais.</t>
  </si>
  <si>
    <t>543/2012</t>
  </si>
  <si>
    <t>Claudete de Fátima Ruas</t>
  </si>
  <si>
    <t>Implementação de uma bolsa de apoio técnico (Nível Superior com Mestrado-NSM), visando atender atividades de pesquisa associadas ao uso do equipamento analizador automático de DNA 3500xL.</t>
  </si>
  <si>
    <t>544/2012</t>
  </si>
  <si>
    <t>Programa Bolsa Técnico</t>
  </si>
  <si>
    <t>545/2012</t>
  </si>
  <si>
    <t>Identificação do vírus da hepatite e em roedores de granjas de suínos e análise molecular comparativa com estirpes virais de origem suína, murina e humana.</t>
  </si>
  <si>
    <t>546/2012</t>
  </si>
  <si>
    <t>Técnico de nível superior para operar microscópios eletrônicos utilizados no desenvolvimento de atividades de pesquisa na central de microscopia (COMCAP) da Universidade Estadual de Maringá.</t>
  </si>
  <si>
    <t>547/2012</t>
  </si>
  <si>
    <t>Terezinha Inez Estivalet Svidzinski</t>
  </si>
  <si>
    <t>Novas opções para obtenção de fármacos com ação sobre leveduras envolvidas em infecções hospitalares.</t>
  </si>
  <si>
    <t>548/2012</t>
  </si>
  <si>
    <t>Geraldo Tadeu dos Santos</t>
  </si>
  <si>
    <t>Apoio técnico para execução de análises químicas especializadas envolvendo a cadeia leiteira da região Noroeste do Paraná.</t>
  </si>
  <si>
    <t>549/2012</t>
  </si>
  <si>
    <t>Tania Ueda Nakamura</t>
  </si>
  <si>
    <t>Apoio técnico ao laboratório de inovação tecnológica no Desenvolvimento de fármacos e cosméticos.</t>
  </si>
  <si>
    <t>550/2012</t>
  </si>
  <si>
    <t>Rubem Silvério de Oliveira Junior.</t>
  </si>
  <si>
    <t>Projeto proposta de bolsa técnico nível superior.</t>
  </si>
  <si>
    <t>551/2012</t>
  </si>
  <si>
    <t>Carla Simone Pavanelli</t>
  </si>
  <si>
    <t>Taxonomia de peixes de água doce da região Neotropical, com ênfase em Characiformes.</t>
  </si>
  <si>
    <t>552/2012</t>
  </si>
  <si>
    <t>Bolsa para técnico em citômetro de fluxo (FACS) na central de Biologia Molecular, Estrutural e Funcional do COMCAP.</t>
  </si>
  <si>
    <t>553/2012</t>
  </si>
  <si>
    <t>Maria Angélica Pagliarini Waidman</t>
  </si>
  <si>
    <t>Construindo o conhecimento em enfermagem na Saúde Mental: Perspectivas e ações para o cuidado na prática em pesquisa.</t>
  </si>
  <si>
    <t>554/2012</t>
  </si>
  <si>
    <t>Evanilde Benedito</t>
  </si>
  <si>
    <t>Biodiversidade e ecologia da comunidade ictíca em quatro importantes planícies de inundação brasileiras.</t>
  </si>
  <si>
    <t>555/2012</t>
  </si>
  <si>
    <t>Desenvolvimento de materiais multiferróicos magnetoelétricos e dispositivos eletrônicos multifuncionais.</t>
  </si>
  <si>
    <t>556/2012</t>
  </si>
  <si>
    <t>Noboru Hioka</t>
  </si>
  <si>
    <t>Eritrosina e seus derivados ésteres: Interações com surfactantes P-123 e F-127 visando biomimetismo e formulações fotodinâmicas.</t>
  </si>
  <si>
    <t>557/2012</t>
  </si>
  <si>
    <t>Thais Gomes Verzignassi</t>
  </si>
  <si>
    <t>Bolsa para técnico em sequenciamento de DNA na Central de Biologia Molecular estrutural e funcional do COMCAP/UEM.</t>
  </si>
  <si>
    <t>558/2012</t>
  </si>
  <si>
    <t>Uso de biologia molecular por PCR em tempo real no auxilio ao diagnóstico das leucemias.</t>
  </si>
  <si>
    <t>559/2012</t>
  </si>
  <si>
    <t>Apoio ao Laboratório de Projeto, Simulação e Controle de Processos.</t>
  </si>
  <si>
    <t>560/2012</t>
  </si>
  <si>
    <t>Maria Valdrinez Campana Lonardoni</t>
  </si>
  <si>
    <t>Estudos experimentais em leishmanioses: Diagnóstico molecular, imunopatologia e investigação de novos tratamentos.</t>
  </si>
  <si>
    <t>561/2012</t>
  </si>
  <si>
    <t>Isolamento e obtenção de padrões das cascas de Trichilia catiguá e desenvolvimento de metodologia analítica e validação por cromatografia quiral em extrativos da matéria-prima vegetal.</t>
  </si>
  <si>
    <t>562/2012</t>
  </si>
  <si>
    <t>Paulo Cezar de Freitas Mathias</t>
  </si>
  <si>
    <t>Restrição protéica na adolescência pode comprometer o metabolismo e o sistema neuroendócrino do estresse na vida adulta.</t>
  </si>
  <si>
    <t>563/2012</t>
  </si>
  <si>
    <t>Jacqueline Nelisis Zanoni</t>
  </si>
  <si>
    <t>Neoglicogênese na mucosa intestinal de ratos portadores de Tumor de Walker 256 suplementados com L-glutamina.</t>
  </si>
  <si>
    <t>564/2012</t>
  </si>
  <si>
    <t>SENAI</t>
  </si>
  <si>
    <t>José Luis Dalto</t>
  </si>
  <si>
    <t>Desenvolvimento de um plano de inovação aplicado a uma indústria metal mecanica</t>
  </si>
  <si>
    <t>565/2012</t>
  </si>
  <si>
    <t>Antão Rodrigo Valentim</t>
  </si>
  <si>
    <t>Avalição da reciclagem de sucatas finas de alumínio utilizadas em embalagens alimentícias</t>
  </si>
  <si>
    <t>566/2012</t>
  </si>
  <si>
    <t>Ednei Aparecido Santulo Junior</t>
  </si>
  <si>
    <t>Groups, Rings and Group Rings 2012</t>
  </si>
  <si>
    <t>567/2012</t>
  </si>
  <si>
    <t>José Antonio Martins</t>
  </si>
  <si>
    <t>8° Encontro ABCP</t>
  </si>
  <si>
    <t>568/2012</t>
  </si>
  <si>
    <t>Unioeste Toledo</t>
  </si>
  <si>
    <t>28th International Conference of Agricultural Economists (28th ICAE).</t>
  </si>
  <si>
    <t>569/2012</t>
  </si>
  <si>
    <t>Paulo Ricardo Martines</t>
  </si>
  <si>
    <t>International Congress of Medieval Philosophy: Pleasures of Knowledgr</t>
  </si>
  <si>
    <t>570/2012</t>
  </si>
  <si>
    <t>Paulo Ricardo Garcia Fernandes</t>
  </si>
  <si>
    <t>24th International Liquid Crystal Conference</t>
  </si>
  <si>
    <t>571/2012</t>
  </si>
  <si>
    <t>International Conference on Applications of Stable Isotope Techniques to Ecological</t>
  </si>
  <si>
    <t>572/2012</t>
  </si>
  <si>
    <t>Carlos Edmundo Rodrigues Fontes</t>
  </si>
  <si>
    <t>AMEE 2012</t>
  </si>
  <si>
    <t>573/2012</t>
  </si>
  <si>
    <t>Paula Toshimi Manumoto Pintro</t>
  </si>
  <si>
    <t>XVI World Congress of Food Science and Technology</t>
  </si>
  <si>
    <t>574/2012</t>
  </si>
  <si>
    <t>Thiago Fanelli Ferraiol</t>
  </si>
  <si>
    <t>IV Latin American Congress on Lie Groups and Geometry</t>
  </si>
  <si>
    <t>575/2012</t>
  </si>
  <si>
    <t>UTFPR FB</t>
  </si>
  <si>
    <t>Andréa Cátia Leal Badaró</t>
  </si>
  <si>
    <t>Solicitação de recursos para participação no evento: 16° Congresso Mundial de Ciência e Tecnologia dos Alimentos (IUFOST)</t>
  </si>
  <si>
    <t>576/2012</t>
  </si>
  <si>
    <t>FUNTEF FB</t>
  </si>
  <si>
    <t>Elisabete Hiromi Hashimoto</t>
  </si>
  <si>
    <t>Participação no 16° Congresso Mundial de Ciência e Tecnologia de Alimentos</t>
  </si>
  <si>
    <t>577/2012</t>
  </si>
  <si>
    <t>Ellen Porto Pinto</t>
  </si>
  <si>
    <t>Solicitação de recurso para o evento (IUFOST)</t>
  </si>
  <si>
    <t>578/2012</t>
  </si>
  <si>
    <t>Alessandra Machado</t>
  </si>
  <si>
    <t>16th World Congress of Food Science and Technology</t>
  </si>
  <si>
    <t>580/2012</t>
  </si>
  <si>
    <t xml:space="preserve"> Filomena Barbosa Rodrigues Mendes</t>
  </si>
  <si>
    <t>MOMAG 2012</t>
  </si>
  <si>
    <t>581/2012</t>
  </si>
  <si>
    <t>Daiana Novello</t>
  </si>
  <si>
    <t xml:space="preserve">Adição de linhaça dourada (Linum Usitatissimum Linaceae) e derivados em hambúrgueres bovinos: aceitação sensorial e análise de sobrevivência </t>
  </si>
  <si>
    <t>582/2012</t>
  </si>
  <si>
    <t>Mary Rute Gomes Esperandio</t>
  </si>
  <si>
    <t>Participação em Eventos Técnicos Científicos – 06/2013</t>
  </si>
  <si>
    <t>Participação no 120th Annual Convention of the American Psychological Association</t>
  </si>
  <si>
    <t>583/2012</t>
  </si>
  <si>
    <t>Apresentação de trabalho no XXXVIII Congresso da International Veterinary</t>
  </si>
  <si>
    <t>584/2012</t>
  </si>
  <si>
    <t>Rosane Calgaro Festinalli</t>
  </si>
  <si>
    <t>Francisco Beltrão Cultiva a cooperação</t>
  </si>
  <si>
    <t>585/2012</t>
  </si>
  <si>
    <t>Alexandre L Erario</t>
  </si>
  <si>
    <t>A Distributed Software Development Environment Dynamics Model / Prerequisites for teaching distributed software development in graduate courses</t>
  </si>
  <si>
    <t>586/2012</t>
  </si>
  <si>
    <t>Rúbia Casagrande</t>
  </si>
  <si>
    <t>Participação no 14° Congresso Mundial de Dor</t>
  </si>
  <si>
    <t>587/2012</t>
  </si>
  <si>
    <t>24th International Liquid Crystal Conference – Mainz, August 19th – 24th, 2012 e First Italian-Brazilian Workshop on Liquid Crystals</t>
  </si>
  <si>
    <t>588/2012</t>
  </si>
  <si>
    <t>Claudivan Sanches Lopes</t>
  </si>
  <si>
    <t>589/2012</t>
  </si>
  <si>
    <t>Claudia Yurika Tamehiro</t>
  </si>
  <si>
    <t>590/2012</t>
  </si>
  <si>
    <t>Conceição Aparecida Cossa</t>
  </si>
  <si>
    <t>6th International Crop Science Congress</t>
  </si>
  <si>
    <t>591/2012</t>
  </si>
  <si>
    <t>Wladimir Sergio Braga</t>
  </si>
  <si>
    <t>An Optical Conoscopy Study in Uniaxial and Biaxial Nematic Phases</t>
  </si>
  <si>
    <t>592/2012</t>
  </si>
  <si>
    <t>Davi Antunes de Oliveira</t>
  </si>
  <si>
    <t>Order parameter measurementes in a reentrant isotropic – calamitic nematic</t>
  </si>
  <si>
    <t>593/2012</t>
  </si>
  <si>
    <t>Marcio Jose Ornat</t>
  </si>
  <si>
    <t>IGU Commission on Gender and Geography meeting, Hambur, Germany</t>
  </si>
  <si>
    <t>594/2012</t>
  </si>
  <si>
    <t>Gustavo Henrique da Costa Oliveira</t>
  </si>
  <si>
    <t>44th Cigré Session</t>
  </si>
  <si>
    <t>595/2012</t>
  </si>
  <si>
    <t>Sergio Antoniuk</t>
  </si>
  <si>
    <t>Simpósio Internacional de Neurociências do Centro de Neuropediatria do Hospital de Clínicas e NC - Instituto Pele Pequeno Principe - Tema Principal: Neurociências aplicadas à Educação e Saúde.</t>
  </si>
  <si>
    <t>596/2012</t>
  </si>
  <si>
    <t>Carina Bortolato Garcia</t>
  </si>
  <si>
    <t>I Encontro sobre a criança do Norte Pioneiro Paranaense.</t>
  </si>
  <si>
    <t>597/2012</t>
  </si>
  <si>
    <t>Luciene Stamato Delazari</t>
  </si>
  <si>
    <t>Avaliação de interfaces, contextos de uso e usuários de mapas</t>
  </si>
  <si>
    <t>598/2012</t>
  </si>
  <si>
    <t>Luiz E S Oliveira</t>
  </si>
  <si>
    <t>Reconhecimento de Padrões Usando Dissimilaridade</t>
  </si>
  <si>
    <t>599/2012</t>
  </si>
  <si>
    <t>Armando João Dalla Costa</t>
  </si>
  <si>
    <t>A Internacionalização das empresas Brasileiras: Análise do conjunto de micro e pequenas empresas paranaenses atuando  no Mercosul</t>
  </si>
  <si>
    <t>600/2012</t>
  </si>
  <si>
    <t>Carmen Sá Brito Sigwalt</t>
  </si>
  <si>
    <t>O desenvolvimento das habilidades metalinguísticas em crianças com dificuldades no processo de alfabetização e letramento</t>
  </si>
  <si>
    <t>601/2012</t>
  </si>
  <si>
    <t>Sérgio Soares Braga</t>
  </si>
  <si>
    <t>Representação política, elites parlamentares e novas tecnologias: o Paraná de uma perspectiva comparada (2011-2015)</t>
  </si>
  <si>
    <t>602/2012</t>
  </si>
  <si>
    <t>3o. Seminário Mercosul de Bebidas: Inovação, Tecnologias e Sabores</t>
  </si>
  <si>
    <t>603/2012</t>
  </si>
  <si>
    <t>João Lopes Toledo Neto</t>
  </si>
  <si>
    <t>II JOIC (Jornada de Iniciação Científica - UENP e I Workshop PIBIC Jr.</t>
  </si>
  <si>
    <t>604/2012</t>
  </si>
  <si>
    <t>Luiz Moreira Coelho Júnior</t>
  </si>
  <si>
    <t>V Encontro Regional de Agroecologia e XXI Feira Vida Orgânica e Economia Solidária.</t>
  </si>
  <si>
    <t>605/2012</t>
  </si>
  <si>
    <t>LACTEC</t>
  </si>
  <si>
    <t>Rogers Demonti</t>
  </si>
  <si>
    <t>Seminário tecnológico sobre geração de energia elétrica por fonte solar.</t>
  </si>
  <si>
    <t>606/2012</t>
  </si>
  <si>
    <t>Maria Teresa Martins Fávero</t>
  </si>
  <si>
    <t>I Simpósio de Educação, Física Escolar e XII Semana de Educação Física da Universidade Estadual do Paraná, Campus Faculdade Estadual de Educação, Ciências e Letras de Paranavaí.</t>
  </si>
  <si>
    <t>607/2012</t>
  </si>
  <si>
    <t>Maria Aparecida Fernandez</t>
  </si>
  <si>
    <t>III Simpósio de Ciências Aplicadas à Sericicultura / I Encontro Latino-Americano de Pesquisadores da Cadeia da Seda (III SICAS/ I ELASEDA).</t>
  </si>
  <si>
    <t>608/2012</t>
  </si>
  <si>
    <t>Ferenc Istvan Bankuti</t>
  </si>
  <si>
    <t>III Simpósio de Gestão do Agronegócio e III Mostra de Trabalhos Científicos.</t>
  </si>
  <si>
    <t>609/2012</t>
  </si>
  <si>
    <t>Karina Janz Woitowicz</t>
  </si>
  <si>
    <t>10º Encontro Paranaense de Pesquisa em Jornalismo.</t>
  </si>
  <si>
    <t>610/2012</t>
  </si>
  <si>
    <t>Celia Finck Brandt</t>
  </si>
  <si>
    <t>I Seminário Estadual PIBID do Paraná: O impacto na educação básica.</t>
  </si>
  <si>
    <t>611/2012</t>
  </si>
  <si>
    <t>Elisa Aguayo da Rosa</t>
  </si>
  <si>
    <t>VI Simpósio de Química Aplicada - SIMQUIA e Workshop Paranaense de Pós-Graduação em Química.</t>
  </si>
  <si>
    <t>612/2012</t>
  </si>
  <si>
    <t>Flávio Augusto de Oliveira Garcia</t>
  </si>
  <si>
    <t>III Seminário de atualização florestal.</t>
  </si>
  <si>
    <t>613/2012</t>
  </si>
  <si>
    <t>Mauren Teuber</t>
  </si>
  <si>
    <t>V Simpósio do Curso de Licenciatura em Artes Visuais da FAP.</t>
  </si>
  <si>
    <t>614/2012</t>
  </si>
  <si>
    <t>Dermanio Tadeu Lima Ferreira</t>
  </si>
  <si>
    <t>5º Seminário Internacional da Cadeia de Trigo.</t>
  </si>
  <si>
    <t>615/2012</t>
  </si>
  <si>
    <t>Maria Josiane Sereia</t>
  </si>
  <si>
    <t>IV SIMTEA - Simpósio de Tecnologia e Engenharia de Alimentos.</t>
  </si>
  <si>
    <t>616/2012</t>
  </si>
  <si>
    <t>Kleber Bez Birolo Candiotto</t>
  </si>
  <si>
    <t>X Congresso Nacional de Filosofia Contemporânea da PUC-PR</t>
  </si>
  <si>
    <t>617/2012</t>
  </si>
  <si>
    <t>Monica Setuyo Okamoto</t>
  </si>
  <si>
    <t>XXII Encontro Nacional de professores universitários de Lingua Literatura e Cultura Japonesa/ IX Congresso Internacional de Estudos Japoneses no Brasil.</t>
  </si>
  <si>
    <t>618/2012</t>
  </si>
  <si>
    <t>William Mário de Carvalho Nunes</t>
  </si>
  <si>
    <t>Participar do 45 CBF</t>
  </si>
  <si>
    <t>619/2012</t>
  </si>
  <si>
    <t>José Aparecido Belluci Júnior</t>
  </si>
  <si>
    <t>01/2009 Enxoval PCD</t>
  </si>
  <si>
    <t>Avaliação do Acolhimento com Classificação de Risco em Serviço Hospitalar de Emergência</t>
  </si>
  <si>
    <t>620/2012</t>
  </si>
  <si>
    <t>Lennita Oliveira Ruggi</t>
  </si>
  <si>
    <t>Participação no Congresso Nacional Intercom 2012</t>
  </si>
  <si>
    <t>621/2012</t>
  </si>
  <si>
    <t>Ricardo Henrique Moreton Godoi</t>
  </si>
  <si>
    <t>Air Quality Management at Urban, Regional and Global Scales.</t>
  </si>
  <si>
    <t>622/2012</t>
  </si>
  <si>
    <t>Lysangela Ronalte Alves</t>
  </si>
  <si>
    <t>Participação na Conferência de 2012 de exossomos e microvesículas.</t>
  </si>
  <si>
    <t>623/2012</t>
  </si>
  <si>
    <t>Emerson Luís Velozo</t>
  </si>
  <si>
    <t>40th Annual Conference of the International Association for the Philosphy of Sport.</t>
  </si>
  <si>
    <t>624/2012</t>
  </si>
  <si>
    <t>Aparecido Ribeiro de Andrade</t>
  </si>
  <si>
    <t>Apoio a Participação no XVII Congresso Brasileiro de Meteorologia.</t>
  </si>
  <si>
    <t>625/2012</t>
  </si>
  <si>
    <t>Miguel Archanjo de Freitas Junior</t>
  </si>
  <si>
    <t>XXI Simpósio de Educação Física e Desportos do Sul do Brasil</t>
  </si>
  <si>
    <t>626/2012</t>
  </si>
  <si>
    <t>Flávia Alessandra Guarnier</t>
  </si>
  <si>
    <t>Participação em evento - Society for free radical research international 16th Biennal Meeting.</t>
  </si>
  <si>
    <t>627/2012</t>
  </si>
  <si>
    <t>Fabiola Giordani</t>
  </si>
  <si>
    <t>European Congress of Epidemiology</t>
  </si>
  <si>
    <t>628/2012</t>
  </si>
  <si>
    <t>Participação no V JUBRA - Simpósio Internacional sobre a Juventude Brasileira.</t>
  </si>
  <si>
    <t>629/2012</t>
  </si>
  <si>
    <t>Frank Antonio Mezomo</t>
  </si>
  <si>
    <t>630/2012</t>
  </si>
  <si>
    <t>Gislaine Aparecida Periçaro</t>
  </si>
  <si>
    <t>XXXIV Congresso Nacional de Matemática Aplicada e Computacional.</t>
  </si>
  <si>
    <t>631/2012</t>
  </si>
  <si>
    <t>José Tadeu Teles Lunardi</t>
  </si>
  <si>
    <t>Apresentação de trabalho na International Conference on Mathematical Modeling in Physical Sciences 2012.</t>
  </si>
  <si>
    <t>632/2012</t>
  </si>
  <si>
    <t>Jasmine Cardozo Moreira</t>
  </si>
  <si>
    <t>11th European Geoparks Conference</t>
  </si>
  <si>
    <t>633/2012</t>
  </si>
  <si>
    <t>Luciane Holsback Silveira</t>
  </si>
  <si>
    <t>Apoio à participação no XVII Congresso Brasileiro de Parasitologia Veterinária.</t>
  </si>
  <si>
    <t>634/2012</t>
  </si>
  <si>
    <t>Enteroparasitas em lodo de esgoto da estação de tratamento de esgoto, Bandeirantes - PR.</t>
  </si>
  <si>
    <t>635/2012</t>
  </si>
  <si>
    <t>Diana Araújo Pereira</t>
  </si>
  <si>
    <t>La re-invencion de América em la literatura y las artes del siglo XX.</t>
  </si>
  <si>
    <t>636/2012</t>
  </si>
  <si>
    <t>Oswaldo Curty da Motta Lima</t>
  </si>
  <si>
    <t>Congresso Brasileiro de Engenharia Química</t>
  </si>
  <si>
    <t>637/2012</t>
  </si>
  <si>
    <t>Aline Frollini Lunardelli</t>
  </si>
  <si>
    <t>Psicologia e pedagogia: Pode a Psicologia contribuir com uma formação docente com vistas à emancipação.</t>
  </si>
  <si>
    <t>639/2012</t>
  </si>
  <si>
    <t>11º Encontro de Química de Alimentos</t>
  </si>
  <si>
    <t>640/2012</t>
  </si>
  <si>
    <t>IV Simpósio Internacional de Aquicultura - 2012</t>
  </si>
  <si>
    <t>641/2012</t>
  </si>
  <si>
    <t>Eniuce Menezes de Souza</t>
  </si>
  <si>
    <t>Análise wavelets de séries temporais GPS para reconhecimento do efeito do multicaminho e monitoramento de estruturas.</t>
  </si>
  <si>
    <t>642/2012</t>
  </si>
  <si>
    <t>Regiane Ribeiro</t>
  </si>
  <si>
    <t>IV ENPECOM - Encontro de pesquisa em comunicação.</t>
  </si>
  <si>
    <t>643/2012</t>
  </si>
  <si>
    <t>Max Jean sw Ornelas Toledo</t>
  </si>
  <si>
    <t>Participação no XVIII Congresso Internacional da Sociedade de Medicina Tropical e Malária.</t>
  </si>
  <si>
    <t>644/2012</t>
  </si>
  <si>
    <t>Aurea Regina Telles Pupulin</t>
  </si>
  <si>
    <t>XVII International Congress for Tropical medicine and malaria and XLVIII Congress of the Brazilian Society for tropical medicine.</t>
  </si>
  <si>
    <t>645/2012</t>
  </si>
  <si>
    <t>Cláudia Nunes Duarte dos Santos</t>
  </si>
  <si>
    <t>Third Pan American Dengue Research Network Meeting.</t>
  </si>
  <si>
    <t>646/2012</t>
  </si>
  <si>
    <t>Michele Cristiane Mesomo</t>
  </si>
  <si>
    <t>Participação no XIX Congresso Brasileiro de Engenharia Química.</t>
  </si>
  <si>
    <t>647/2012</t>
  </si>
  <si>
    <t>XXIV Congresso Brasileiro de Entomologia</t>
  </si>
  <si>
    <t>648/2012</t>
  </si>
  <si>
    <t>Congresso GIRI 2012</t>
  </si>
  <si>
    <t>650/2012</t>
  </si>
  <si>
    <t>Kátia Cylene Lombardi</t>
  </si>
  <si>
    <t>The 16th Meeting of the International Humic Substances Society.</t>
  </si>
  <si>
    <t>651/2012</t>
  </si>
  <si>
    <t>Daniel Bussolaro</t>
  </si>
  <si>
    <t>Participação no XII ECOTOX</t>
  </si>
  <si>
    <t>653/2012</t>
  </si>
  <si>
    <t>Maria Antonia Pedrine Colabone Celligoi</t>
  </si>
  <si>
    <t>15th European Congress on Biotechnology</t>
  </si>
  <si>
    <t>654/2012</t>
  </si>
  <si>
    <t>Concepções e práticas no ensino de literatura: Da escolarização à promoção da leitura literária.</t>
  </si>
  <si>
    <t>655/2012</t>
  </si>
  <si>
    <t>III Congresso Brasileiro em Gestão do Ciclo de Vida de Produtos e Serviços.</t>
  </si>
  <si>
    <t>656/2012</t>
  </si>
  <si>
    <t>Márcia Edilaine Lopes Consolaro</t>
  </si>
  <si>
    <t>III Simpósio de Biociências Aplicadas à Farmácia.</t>
  </si>
  <si>
    <t>657/2012</t>
  </si>
  <si>
    <t>Clóves Cabreira Jobim</t>
  </si>
  <si>
    <t>XXXIII Congresso Paranaense dos Estudantes de Zootecnia</t>
  </si>
  <si>
    <t>658/2012</t>
  </si>
  <si>
    <t>Max Rogério Vicentini</t>
  </si>
  <si>
    <t>VII Simpósio de Filosofia da UEM.</t>
  </si>
  <si>
    <t>659/2012</t>
  </si>
  <si>
    <t>Maria de Fátima Sales de Souza Campos</t>
  </si>
  <si>
    <t>IX ECOPAR - Encontro de Economia Paranaense: Transformações na Economia Paranaense no Século XXI.</t>
  </si>
  <si>
    <t>660/2012</t>
  </si>
  <si>
    <t>2º Congresso Paranaense de Ciências Biomédicas.</t>
  </si>
  <si>
    <t>661/2012</t>
  </si>
  <si>
    <t>Cássia Cilene Dezan Garbelini</t>
  </si>
  <si>
    <t>Congresso Odontológico do Jubileu de Ouro da UEL / 9º Encontro Nacional de Odontologia para Bebês.</t>
  </si>
  <si>
    <t>662/2012</t>
  </si>
  <si>
    <t>XXIII Congresso Brasileiro de Virologia e VII Encontro de Virologia do Mercosul.</t>
  </si>
  <si>
    <t>663/2012</t>
  </si>
  <si>
    <t>PTI</t>
  </si>
  <si>
    <t>Antonio Fernando Machado</t>
  </si>
  <si>
    <t>XXII Seminário Nacional de Parques Tecnológicos e Incubadoras de Empresas.XX Workshop ANPROTEC.</t>
  </si>
  <si>
    <t>664/2012</t>
  </si>
  <si>
    <t>FAFIPAR</t>
  </si>
  <si>
    <t>Jacqueline Costa Sanches Vignoli</t>
  </si>
  <si>
    <t>VI Seminário de Estudos Linguísticos e Literários.</t>
  </si>
  <si>
    <t>665/2012</t>
  </si>
  <si>
    <t>Marcos Gonçalves</t>
  </si>
  <si>
    <t>V Seminário de História - Pesquisa e Ensino da História em Debate.</t>
  </si>
  <si>
    <t>666/2012</t>
  </si>
  <si>
    <t>Paulo Henrique Gorgatti Zarbin</t>
  </si>
  <si>
    <t>667/2012</t>
  </si>
  <si>
    <t>Alexandro Dantas Trindade</t>
  </si>
  <si>
    <t>IV Seminário Nacional Sociologia &amp; Política</t>
  </si>
  <si>
    <t>668/2012</t>
  </si>
  <si>
    <t>Sebastião do Amaral Machado</t>
  </si>
  <si>
    <t>4º Congresso Florestal Paranaense.</t>
  </si>
  <si>
    <t>669/2012</t>
  </si>
  <si>
    <t>Marilisa do Rocio Oliveira</t>
  </si>
  <si>
    <t>ADM2012 - Congresso Internacional de Administração.</t>
  </si>
  <si>
    <t>670/2012</t>
  </si>
  <si>
    <t>Jarem Raul Garcia</t>
  </si>
  <si>
    <t>IV Simpósio de Graduação e Pós-Graduação em Química da UEPG.</t>
  </si>
  <si>
    <t>671/2012</t>
  </si>
  <si>
    <t>Acir Dias da Silva</t>
  </si>
  <si>
    <t>Seminário Nacional Cinema em Perspectiva.</t>
  </si>
  <si>
    <t>672/2012</t>
  </si>
  <si>
    <t>Solange Maranho Gomes</t>
  </si>
  <si>
    <t>VIII Simpósio de Música da FAP: Práticas de Ensino da Música.</t>
  </si>
  <si>
    <t>673/2012</t>
  </si>
  <si>
    <t>Carlos Alexandre Molena Fernandes</t>
  </si>
  <si>
    <t>III Encontro de Iniciação Científica da FAFIPA - III EIC</t>
  </si>
  <si>
    <t>674/2012</t>
  </si>
  <si>
    <t>Fátima Aparecida de Souza Francioli</t>
  </si>
  <si>
    <t>XI Jornada de Pedagogia da FAFIPA "Formação de Professores: Os desafios da inclusão".</t>
  </si>
  <si>
    <t>675/2012</t>
  </si>
  <si>
    <t>Sérgio Surugi de Siqueira</t>
  </si>
  <si>
    <t>I Seminário Internacional sobre Pesquisas Inovadoras em Ciências Biológicas e da Saúde.</t>
  </si>
  <si>
    <t>677/2012</t>
  </si>
  <si>
    <t>Crislaine Colla</t>
  </si>
  <si>
    <t>XXII Seminário de Economia Brasileira.</t>
  </si>
  <si>
    <t>678/2012</t>
  </si>
  <si>
    <t>VI Encontro de Engenharia de Produção Agroindustrial</t>
  </si>
  <si>
    <t>679/2012</t>
  </si>
  <si>
    <t>Gisele Ramos Onofre</t>
  </si>
  <si>
    <t>V SETUR - Seminário em Turismo Regional: Meio Ambiente, Cultura e Sustentabibilidade".</t>
  </si>
  <si>
    <t>680/2012</t>
  </si>
  <si>
    <t>ABO/PG</t>
  </si>
  <si>
    <t>Rubens Sautchuk</t>
  </si>
  <si>
    <t>19º Congresso Internacional de Odontologia de Ponta Grossa e XII Simpósio Municipal de Odontologia Social - PG.</t>
  </si>
  <si>
    <t>681/2012</t>
  </si>
  <si>
    <t>Márcio Barreto Rodrigues</t>
  </si>
  <si>
    <t>I Simpósio em Tecnologia Química</t>
  </si>
  <si>
    <t>682/2012</t>
  </si>
  <si>
    <t>José Augusto Fabri</t>
  </si>
  <si>
    <t>Simpósio de Computação Aplicada do Norte Pioneiro do Paraná.</t>
  </si>
  <si>
    <t>683/2012</t>
  </si>
  <si>
    <t>UENP REITORIA</t>
  </si>
  <si>
    <t>Vera Maria Ramos Pinto</t>
  </si>
  <si>
    <t>IX Seminário de Iniciação Científica Sóletras - Estudos Linguisticos e Literários.</t>
  </si>
  <si>
    <t>684/2012</t>
  </si>
  <si>
    <t>Roberta Negrão de Araújo</t>
  </si>
  <si>
    <t>VI Seminário de Pedagogia (SEPED) - "Refletindo sobre a práxis na formação de professores: Diferentes perspectivas e suas contribuições".</t>
  </si>
  <si>
    <t>685/2012</t>
  </si>
  <si>
    <t>Nilceu Jacob Deitos</t>
  </si>
  <si>
    <t>III Simpósio Nacional em História - Trabalho, Cultura e Poder: Memórias, movimentos sociais e hidrelétricas (30 anos da Itaipu).</t>
  </si>
  <si>
    <t>686/2012</t>
  </si>
  <si>
    <t>João Francisco Morozini</t>
  </si>
  <si>
    <t>IV Congresso de Ciências Sociais Aplicadas - CONCISA e VIII Encontro Paranaense de Pesquisa e Extensão em Ciências Sociais Aplicadas - ENPPEX.</t>
  </si>
  <si>
    <t>687/2012</t>
  </si>
  <si>
    <t>Poliana Cardozo</t>
  </si>
  <si>
    <t>IX Jornada Acadêmica de Turismo</t>
  </si>
  <si>
    <t>688/2012</t>
  </si>
  <si>
    <t>UENP Jacarezinho</t>
  </si>
  <si>
    <t>Fernando Emmanuel Gonçalves Vieira</t>
  </si>
  <si>
    <t>XVII Congresso Brasileiro de Parasitologia Veterinária.</t>
  </si>
  <si>
    <t>689/2012</t>
  </si>
  <si>
    <t>Cristina Rodrigues Cruz</t>
  </si>
  <si>
    <t>21º Congresso Brasileiro de Perinatologia.</t>
  </si>
  <si>
    <t>690/2012</t>
  </si>
  <si>
    <t>Shirley Aparecida Fabris de Souza</t>
  </si>
  <si>
    <t>The 1stChina Congress on Controversies to Consensus in Diabetes, Obesity and Hypertension (CODHy).</t>
  </si>
  <si>
    <t>691/2012</t>
  </si>
  <si>
    <t>Susimeire Vivien Rosotti de Andrade</t>
  </si>
  <si>
    <t>Enxoval para Instalação do recém-formado e desenvolvimento de pesquisa</t>
  </si>
  <si>
    <t>692/2012</t>
  </si>
  <si>
    <t>Helena Cristina da Silva de Assis</t>
  </si>
  <si>
    <t>XII Congresso Brasileiro de Ecotoxicologia</t>
  </si>
  <si>
    <t>693/2012</t>
  </si>
  <si>
    <t>Maria Aparecida Sert</t>
  </si>
  <si>
    <t>Participação no evento XXIX Reunion Argentina de Fisiologia Vegetal.</t>
  </si>
  <si>
    <t>694/2012</t>
  </si>
  <si>
    <t>XI Jornada de Estudos Antigos e Medievais</t>
  </si>
  <si>
    <t>695/2012</t>
  </si>
  <si>
    <t>Participação no Pacific Rim Meeting on Eletrochemical and Solid-State Science Joint International Meeting: 222nd Meeting of ECS and 2012 Fall Meeting of the Eletrochemical Society of Japan.</t>
  </si>
  <si>
    <t>696/2012</t>
  </si>
  <si>
    <t>Adriano Gonçalves Viana</t>
  </si>
  <si>
    <t>Participação no PRIME 2012 - Pacific Rim Meeting on Eletrochemical and Solid-State Science.</t>
  </si>
  <si>
    <t>697/2012</t>
  </si>
  <si>
    <t>Juliana Inaba</t>
  </si>
  <si>
    <t>698/2012</t>
  </si>
  <si>
    <t>XIII Congreso Nacional de Educación Comparada.</t>
  </si>
  <si>
    <t>699/2012</t>
  </si>
  <si>
    <t>Nei Moreira</t>
  </si>
  <si>
    <t>Participação em Evento ISABR 2012</t>
  </si>
  <si>
    <t>700/2012</t>
  </si>
  <si>
    <t>Adriana Roseli Wunsch Takahashi</t>
  </si>
  <si>
    <t>Solicitação participação evento no exterior - SMS2012.</t>
  </si>
  <si>
    <t>701/2012</t>
  </si>
  <si>
    <t>Marcos Antonio Alves</t>
  </si>
  <si>
    <t>XV Encontro da Associação Nacional de Pós-Graduação em Filosofia.</t>
  </si>
  <si>
    <t>702/2012</t>
  </si>
  <si>
    <t>Cintia Ribeiro Veloso da Silva</t>
  </si>
  <si>
    <t>XIII Congreso Nacional de Educación Comparada - "Identidades Culturales Y Educacion en la Sociedad Mundial".</t>
  </si>
  <si>
    <t>703/2012</t>
  </si>
  <si>
    <t>Participação no X Encontro Nacional da Associação Brasileira de Estudos Regionais e Urbanos - ENABER.</t>
  </si>
  <si>
    <t>704/2012</t>
  </si>
  <si>
    <t>César Augusto Battisti</t>
  </si>
  <si>
    <t>VIII Encontro da Associação de Filosofia e História da Ciência do Cone Sul.</t>
  </si>
  <si>
    <t>705/2012</t>
  </si>
  <si>
    <t>X Encontro Nacional da Associação Brasileira de Estudos Regionais e Urbanos.</t>
  </si>
  <si>
    <t>706/2012</t>
  </si>
  <si>
    <t>Magali Soares dos Santos</t>
  </si>
  <si>
    <t>Participação V Clana</t>
  </si>
  <si>
    <t>707/2012</t>
  </si>
  <si>
    <t>Marluze Dunajski Mendes</t>
  </si>
  <si>
    <t>Congresso Internacional em Design e Artes Gráficas: Apresentação de artigo no evento.</t>
  </si>
  <si>
    <t>708/2012</t>
  </si>
  <si>
    <t>Davi Felix Schreiner</t>
  </si>
  <si>
    <t>Apresentação de trabalho no II Congresso da Associação Internacional Areia.</t>
  </si>
  <si>
    <t>709/2012</t>
  </si>
  <si>
    <t>Ivonete Pereira</t>
  </si>
  <si>
    <t>Participação com apresentação de trabalho no II Congresso da Associação Internacional Areia.</t>
  </si>
  <si>
    <t>710/2012</t>
  </si>
  <si>
    <t>Emerson Mario Boldo</t>
  </si>
  <si>
    <t>Participação no ISRP12</t>
  </si>
  <si>
    <t>711/2012</t>
  </si>
  <si>
    <t>Apoio financeiro a Participação no IX SINAGEO.</t>
  </si>
  <si>
    <t>712/2012</t>
  </si>
  <si>
    <t>Maira Bonafé Sei</t>
  </si>
  <si>
    <t>X Congresso Brasileiro de Arteterapia</t>
  </si>
  <si>
    <t>713/2012</t>
  </si>
  <si>
    <t>Ana Luisa Boavista Lustosa Cavalcante</t>
  </si>
  <si>
    <t>2ª Conferência Internacional em Design e Artes Gráficas.</t>
  </si>
  <si>
    <t>714/2012</t>
  </si>
  <si>
    <t>Eduardo Leite Kruger</t>
  </si>
  <si>
    <t>XIV Encontro Nacional de Tecnologia do Ambiente Contruído.</t>
  </si>
  <si>
    <t>715/2012</t>
  </si>
  <si>
    <t>Marcela Maria Baracat</t>
  </si>
  <si>
    <t>Participação na Reunião e Exposição Anual da AAPS 2012 (2012 Annual Meeting and Exposition).</t>
  </si>
  <si>
    <t>716/2012</t>
  </si>
  <si>
    <t>Sandra Regina Georgetti</t>
  </si>
  <si>
    <t>Participação na Reunião e Exposição Anual da AAPS 2012.</t>
  </si>
  <si>
    <t>717/2012</t>
  </si>
  <si>
    <t>Participação na Reunião e Exposição Anual da Associação Americana de Cientistas Farmacêuticos 2012.</t>
  </si>
  <si>
    <t>718/2012</t>
  </si>
  <si>
    <t>Brígida Gimenez Carvalho</t>
  </si>
  <si>
    <t>V Congresso Ibero-Americano de Pesquisa Qualitativa em Saúde.</t>
  </si>
  <si>
    <t>719/2012</t>
  </si>
  <si>
    <t>Elisabete de Fátima Polo de Almeida Nunes.</t>
  </si>
  <si>
    <t>720/2012</t>
  </si>
  <si>
    <t>Tania Maria Fresca</t>
  </si>
  <si>
    <t>Produção do espaço metropolitano de Londrina - PR: Novas centralidades e mercado imobiliário.</t>
  </si>
  <si>
    <t>721/2012</t>
  </si>
  <si>
    <t>Fernando Augusto Starepravo</t>
  </si>
  <si>
    <t>III Congreso Latinoamericano de Estudios Socioculturales del Deporte.</t>
  </si>
  <si>
    <t>722/2012</t>
  </si>
  <si>
    <t>Fabiola Castelo de Souza Cordovil</t>
  </si>
  <si>
    <t>Apoio à participação no XII Seminário de História da Cidade e Urbanismo.</t>
  </si>
  <si>
    <t>723/2012</t>
  </si>
  <si>
    <t>Nehemias Curvelo Pereira</t>
  </si>
  <si>
    <t>62nd Canadian Chemical Engineering Conference</t>
  </si>
  <si>
    <t>724/2012</t>
  </si>
  <si>
    <t>Raquel Soares Tasca</t>
  </si>
  <si>
    <t>725/2012</t>
  </si>
  <si>
    <t>Romel Dias Vanderlei</t>
  </si>
  <si>
    <t>5º Congresso Luso-Brasileiro para o planejamento urbano, regional, integrado e sustentável.</t>
  </si>
  <si>
    <t>726/2012</t>
  </si>
  <si>
    <t>Paula Silva Sardeiro Vanderlei</t>
  </si>
  <si>
    <t>727/2012</t>
  </si>
  <si>
    <t>Regina Aparecida Correia Gonçalves</t>
  </si>
  <si>
    <t>VI Workshop de Biocatálise e biotransformação.</t>
  </si>
  <si>
    <t>728/2012</t>
  </si>
  <si>
    <t>Ademir Juracy Fanfa Ribas</t>
  </si>
  <si>
    <t>Projeto para participação no XVII Congreso Internacional del CLAD sobre la Reforma del Estado y de la Administración Pública apresentando trabalho.</t>
  </si>
  <si>
    <t>729/2013</t>
  </si>
  <si>
    <t>Marcio Alexandre Facini</t>
  </si>
  <si>
    <t>730/2012</t>
  </si>
  <si>
    <t>Cleverson Fernando Salache</t>
  </si>
  <si>
    <t>731/2012</t>
  </si>
  <si>
    <t>Licenciaturas em diálogo sobre a formação docente para atuação em contextos inclusivos.</t>
  </si>
  <si>
    <t>732/2012</t>
  </si>
  <si>
    <t>Jó Klanovicz</t>
  </si>
  <si>
    <t>Participação e apresentação de trabalho durante o SHOT Prometheans/Workshop Historical and Contemporary Studies of Disasters.</t>
  </si>
  <si>
    <t>733/2012</t>
  </si>
  <si>
    <t>Sandro Rautenberg</t>
  </si>
  <si>
    <t>Projeto para apresentação de artigo no CLEI 2012.</t>
  </si>
  <si>
    <t>734/2012</t>
  </si>
  <si>
    <t>XXII Congresso Brasileiro de Fruticultura.</t>
  </si>
  <si>
    <t>735/2012</t>
  </si>
  <si>
    <t>Gilmar Antônio Nava</t>
  </si>
  <si>
    <t>736/2012</t>
  </si>
  <si>
    <t>José Donizetti de Lima</t>
  </si>
  <si>
    <t>Eficácia da implantação do sistema kanban de abastecimento no setor de componentes injetados em plástico.</t>
  </si>
  <si>
    <t>737/2012</t>
  </si>
  <si>
    <t>Rafael Cardoso</t>
  </si>
  <si>
    <t>Auxílio para participação no PES ISGT Europe 2012.</t>
  </si>
  <si>
    <t>738/2012</t>
  </si>
  <si>
    <t>Participação e apresentação de trabalhos científicos no OFS 2012.</t>
  </si>
  <si>
    <t>739/2012</t>
  </si>
  <si>
    <t>Anderson Geraldo Marenda Pukaslewicz</t>
  </si>
  <si>
    <t>Influência dos parâmetros de deposição FCAW nos ciclos térmicos e geometria do cordão de uma liga inoxidável com cobalto.</t>
  </si>
  <si>
    <t>740/2012</t>
  </si>
  <si>
    <t>XXXVIII Conferência Latinoamericana em Informática.</t>
  </si>
  <si>
    <t>741/2012</t>
  </si>
  <si>
    <t>Márcia Ferreira Prestes</t>
  </si>
  <si>
    <t>5º Congresso Luso Brasileiro para o Planejamento Urbano, Regional, Integrado e Sustentável.</t>
  </si>
  <si>
    <t>742/2012</t>
  </si>
  <si>
    <t>Amauri Amorin Assef</t>
  </si>
  <si>
    <t>2012 IEEE International Ultrasonics Symposium.</t>
  </si>
  <si>
    <t>743/2012</t>
  </si>
  <si>
    <t>Rafael Carvalho Barreto</t>
  </si>
  <si>
    <t>International Meeting on Photodynamics.</t>
  </si>
  <si>
    <t>744/2012</t>
  </si>
  <si>
    <t>Eduardo Di Mauro</t>
  </si>
  <si>
    <t>Estudo do comportamento magnético do mineral goethita por ressonância paramagnética eletrônica (RPE).</t>
  </si>
  <si>
    <t>745/2012</t>
  </si>
  <si>
    <t>Clara Márcia F. Piazzeta</t>
  </si>
  <si>
    <t>XIV Simpósio Brasileiro de Musicoterapia e XII Encontro Nacional de Pesquisa em Musicoterapia.</t>
  </si>
  <si>
    <t>746/2012</t>
  </si>
  <si>
    <t>Apoio financeiro à participação do IX SINAGEO.</t>
  </si>
  <si>
    <t>747/2012</t>
  </si>
  <si>
    <t>Fábio Luiz Melquiades</t>
  </si>
  <si>
    <t>Participação no ISRP 2012</t>
  </si>
  <si>
    <t>748/2012</t>
  </si>
  <si>
    <t>Andrea Ciacchi</t>
  </si>
  <si>
    <t>05-2012 Bolsas de Iniciação Científica</t>
  </si>
  <si>
    <t>PIBIC-FA da UNILA</t>
  </si>
  <si>
    <t>749/2012</t>
  </si>
  <si>
    <t>Carmen Luisa Barbosa Guedes</t>
  </si>
  <si>
    <t>XI Encuentro Latinoamericano de fotoquímica y fotobiologia.</t>
  </si>
  <si>
    <t>750/2012</t>
  </si>
  <si>
    <t>Graciette Matioli</t>
  </si>
  <si>
    <t>Biossíntese de ciclodextrinas por células microbianas em esponjas sintética e vegetal: Estabilidade Operacional</t>
  </si>
  <si>
    <t>751/2012</t>
  </si>
  <si>
    <t>Ricardo Rippel</t>
  </si>
  <si>
    <t>Programa de Iniciação Científica da UNIOESTE.</t>
  </si>
  <si>
    <t>752/2012</t>
  </si>
  <si>
    <t>Cleybe Hiole Vieira</t>
  </si>
  <si>
    <t>Programa de Bolsas de Iniciação Científica - PIBIC</t>
  </si>
  <si>
    <t>753/2012</t>
  </si>
  <si>
    <t>Programa Institucional de Iniciação Científica - PIC e Iniciação Artística e Cultural - PIAC UNESPAR/FAP.</t>
  </si>
  <si>
    <t>754/2012</t>
  </si>
  <si>
    <t>Fábio André Hahn</t>
  </si>
  <si>
    <t>Ciências Humanas, Sociais e Juridicas</t>
  </si>
  <si>
    <t>Programa de Apoio à Iniciação Científica</t>
  </si>
  <si>
    <t>755/2012</t>
  </si>
  <si>
    <t>Iniciação Científica na UEL 2012</t>
  </si>
  <si>
    <t>756/2012</t>
  </si>
  <si>
    <t>Ricardo Yoshimitsu Miyahara</t>
  </si>
  <si>
    <t>Programa Institucional de Bolsas de Iniciação da UNICENTRO.</t>
  </si>
  <si>
    <t>757/2012</t>
  </si>
  <si>
    <t>Fúlvio Natércio Feiber</t>
  </si>
  <si>
    <t xml:space="preserve">PIBIC-FA </t>
  </si>
  <si>
    <t>758/2012</t>
  </si>
  <si>
    <t>Laerte Francisco Filippsen</t>
  </si>
  <si>
    <t>Programa de Iniciação Científica do IAPAR - ProlCl</t>
  </si>
  <si>
    <t>759/2012</t>
  </si>
  <si>
    <t>José eliezer Mikosz</t>
  </si>
  <si>
    <t>PIC EMBAP 2012</t>
  </si>
  <si>
    <t>760/2012</t>
  </si>
  <si>
    <t>Sandra Regina de Moraes</t>
  </si>
  <si>
    <t>Projeto de Iniciação Científica UNESPAR Campus da Faculdade Estadual de Filosofia, Ciências e Letras de União da Vitória - PR.</t>
  </si>
  <si>
    <t>761/2012</t>
  </si>
  <si>
    <t>Ana Maria Conte</t>
  </si>
  <si>
    <t>Solicitação de cotas de bolsas de Iniciação Científica para a UENP.</t>
  </si>
  <si>
    <t>762/2012</t>
  </si>
  <si>
    <t>Rafael Metri</t>
  </si>
  <si>
    <t>Iniciação Científica: Instrumento de formulação de política de iniciação à pesquisa ao corpo docente e discente.</t>
  </si>
  <si>
    <t xml:space="preserve"> 01/08/2012</t>
  </si>
  <si>
    <t>763/2012</t>
  </si>
  <si>
    <t>Maria de Fátima Mantovani</t>
  </si>
  <si>
    <t>Programa Insntitucional de Bolsas de Iniciação Científica Fundação Araucária.</t>
  </si>
  <si>
    <t>764/2012</t>
  </si>
  <si>
    <t>Alaine Margarete Guimarães</t>
  </si>
  <si>
    <t>Programa de Bolsas de Iniciação Científica</t>
  </si>
  <si>
    <t>765/2012</t>
  </si>
  <si>
    <t>Amarildo Vicentini</t>
  </si>
  <si>
    <t>Programa de Bolsas de Iniciação Científica - UEM - 2012-13.</t>
  </si>
  <si>
    <t>766/2012</t>
  </si>
  <si>
    <t>Bolsas de Iniciação Científica</t>
  </si>
  <si>
    <t>767/2012</t>
  </si>
  <si>
    <t>FECEA</t>
  </si>
  <si>
    <t>Antonio Marcos Dorigão</t>
  </si>
  <si>
    <t>Programa Institucional de Bolsas de Iniciação Científica - PIBIC-FECEA.</t>
  </si>
  <si>
    <t>768/2012</t>
  </si>
  <si>
    <t>Ezequiel Burkarter</t>
  </si>
  <si>
    <t>Programa Institucional de Iniciação Científica do Instituto Federal do Paraná.</t>
  </si>
  <si>
    <t>769/2012</t>
  </si>
  <si>
    <t>Ricardo Tadeu Caires Silva</t>
  </si>
  <si>
    <t>Programa Institucional de Bolsas de Iniciação Científica da FAFIPA.</t>
  </si>
  <si>
    <t>770/2012</t>
  </si>
  <si>
    <t>Daniela Parada Pavoni</t>
  </si>
  <si>
    <t>Proposta Institucional de Bolsas de Iniciação Científica do Instituto Carlos Chagas.</t>
  </si>
  <si>
    <t>771/2012</t>
  </si>
  <si>
    <t>FUNTEF-PR</t>
  </si>
  <si>
    <t>Paulo José Abatti</t>
  </si>
  <si>
    <t>Programa de Apoio à Iniciação Científica na UTFPR.</t>
  </si>
  <si>
    <t>772/2012</t>
  </si>
  <si>
    <t>AFESBJ</t>
  </si>
  <si>
    <t>Cleonice Bastos Pompermayer</t>
  </si>
  <si>
    <t>Programa de Apoio a Iniciação Científica</t>
  </si>
  <si>
    <t>773/2012</t>
  </si>
  <si>
    <t>Milton Pires Ramos</t>
  </si>
  <si>
    <t>Programa de Iniciação Científica no TECPAR.</t>
  </si>
  <si>
    <t>774/2012</t>
  </si>
  <si>
    <t>Luiz Carlos Gomes</t>
  </si>
  <si>
    <t>10-2011 Bolsa Sênior</t>
  </si>
  <si>
    <t>Professor Sênior UEM/PEA</t>
  </si>
  <si>
    <t>20/09/2012</t>
  </si>
  <si>
    <t>775/2012</t>
  </si>
  <si>
    <t>Avaliação das atividades biológicas de plantas utilizadas no tratamento de doenças negligenciáveis e desenvolvimento de sistemas de liberação controlada</t>
  </si>
  <si>
    <t>776/2012</t>
  </si>
  <si>
    <t>Bolsa Sênior do Programa de Pós-Graduação em Ciências Biológicas (Biologia Celular e Molecular - PBC/UEM)</t>
  </si>
  <si>
    <t>777/2012</t>
  </si>
  <si>
    <t>Maria Dalva de Barros Carvalho</t>
  </si>
  <si>
    <t>Pesquisa de artrópodes envolvidos em doenças endêmicas no Estado do Paraná</t>
  </si>
  <si>
    <t>778/2012</t>
  </si>
  <si>
    <t>Importância da Sinalização celular e da nucleação do gelo na patogenicidade de Pantoea ananatis, agente causal da mancha branca do milho</t>
  </si>
  <si>
    <t>779/2012</t>
  </si>
  <si>
    <t>UNIOESTE - Cascavel</t>
  </si>
  <si>
    <t>Aparecida Feola Sella</t>
  </si>
  <si>
    <t>Fortalecimento do Mestrado e do Doutorado em Letras: Linguagem e Sociedade por meio de Pesquisador Bolsista Sênior</t>
  </si>
  <si>
    <t>30/10/2012</t>
  </si>
  <si>
    <t>780/2012</t>
  </si>
  <si>
    <t>Inara Staub Prochnau</t>
  </si>
  <si>
    <t>III Encontro de Pesquisa da Pontifícia Universidade Católica do Paraná (EPPUC).</t>
  </si>
  <si>
    <t>15/10/2012</t>
  </si>
  <si>
    <t>781/2012</t>
  </si>
  <si>
    <t>Egon Schnitzler</t>
  </si>
  <si>
    <t>Agroindústria da maçã - Novíssimos rumos para a maçã paranaense</t>
  </si>
  <si>
    <t>782/2012</t>
  </si>
  <si>
    <t>Margarida Gandara Rauen</t>
  </si>
  <si>
    <t>03-2012 Fluxo Contínuo</t>
  </si>
  <si>
    <t>24th Annual EAIE Conference / 24ª Conferencia Anual da European Association for International Education.</t>
  </si>
  <si>
    <t>29/08/2012</t>
  </si>
  <si>
    <t>783/2012</t>
  </si>
  <si>
    <t>Recursos financeiros para participação no XXI EAIC - Maringá.</t>
  </si>
  <si>
    <t>25/09/2012</t>
  </si>
  <si>
    <t>784/2012</t>
  </si>
  <si>
    <t>Clara Márcia de Freitas Piazzetta</t>
  </si>
  <si>
    <t>Participação no XXII EAIC dos alunos e professores inscritos no PIC PIAC FAP 2011.</t>
  </si>
  <si>
    <t>785/2012</t>
  </si>
  <si>
    <t>Participação da UNICENTRO no Encontro Anual de Iniciação Científica - EAIC</t>
  </si>
  <si>
    <t>10/09/2012</t>
  </si>
  <si>
    <t>786/2012</t>
  </si>
  <si>
    <t>Apoio a Parques Tecnológicos e Incubadoras de Empresas - ANPROTEC.</t>
  </si>
  <si>
    <t>787/2012</t>
  </si>
  <si>
    <t>Lilian Akemi Kato</t>
  </si>
  <si>
    <t>XXIII Semana da Matemática</t>
  </si>
  <si>
    <t>788/2012</t>
  </si>
  <si>
    <t>Participação da UEL no XXI EAIC.</t>
  </si>
  <si>
    <t>789/2012</t>
  </si>
  <si>
    <t>Participação dos acadêmicos de Iniciação Científica da UNIOESTE  no XXI Encontro Anual de Iniciação Científica.</t>
  </si>
  <si>
    <t>790/2012</t>
  </si>
  <si>
    <t>Valeria Neves Domingos Cavalcanti</t>
  </si>
  <si>
    <t>21º Encontro Anual de Iniciação Científica - EAIC e 2º Encontro de Iniciação Tecnológica e Inovação EAITI.</t>
  </si>
  <si>
    <t>791/2012</t>
  </si>
  <si>
    <t>UENP</t>
  </si>
  <si>
    <t>Participação da UENP no XXI Encontro Anual de Iniciação Científica - EAIC</t>
  </si>
  <si>
    <t>792/2012</t>
  </si>
  <si>
    <t>Névio de Campos</t>
  </si>
  <si>
    <t>12/2011 - Programa de Bolsas de Produtividade em Pesquisa</t>
  </si>
  <si>
    <t>INTELECTUAIS NA FACULDADE DE FILOSOFIA, CIÊNCIAS E LETRAS DO PARANÁ: CONFLUÊNCIAS E CONFRONTOS (1951-1971)</t>
  </si>
  <si>
    <t>793/2012</t>
  </si>
  <si>
    <t>Luís Antonio Pinheiro</t>
  </si>
  <si>
    <t>DESENVOLVIMENTO DE PESQUISAS PARA ESTUDOS DE DEGRADAÇÃO E RECICLAGEM DE POLÍMEROS E REAPROVEITAMENTO DE RESÍDUOS SÓLIDOS.</t>
  </si>
  <si>
    <t>794/2012</t>
  </si>
  <si>
    <t>Ademir José Rosso</t>
  </si>
  <si>
    <t>REPRESENTAÇÕES SOCIAIS DE PROFESSORES E ALUNOS DA EDUCAÇÃO BÁSICA SOBRE A INDISCIPLINA</t>
  </si>
  <si>
    <t>795/2012</t>
  </si>
  <si>
    <t>RECONSTRUÇÃO HISTÓRICA DOS PROCESSOS EDUCACIONAIS DE COMUNIDADES QUILOMBOLAS DO PARANÁ</t>
  </si>
  <si>
    <t>796/2012</t>
  </si>
  <si>
    <t>ELUCIDAÇÃO DO PROCESSO DE AÇÃO/ATIVIDADE DOS ADITIVOS ORGÂNICOS NA INTERFACE METAL/SOLUÇÃO NO PROCESSO DE ELETRODEPOSIÇÃO DE NÍQUEL</t>
  </si>
  <si>
    <t>797/2012</t>
  </si>
  <si>
    <t>DEGRADAÇÃO DE EFLUENTE DA INDÚSTRIA TÊXTIL UTILIZANDO ARGILA BENTONITA/FE IMOBILIZADA EM PLACAS DE VIDRO</t>
  </si>
  <si>
    <t>798/2012</t>
  </si>
  <si>
    <t>ESTUDO DAS PROPRIEDADES TÉRMICAS E ESPECTROSCÓPICAS DE MATERIAIS PARA APLICAÇÃO LASER NO VISÍVEL E INFRAVERMELHO PRÓXIMO</t>
  </si>
  <si>
    <t>799/2012</t>
  </si>
  <si>
    <t>O ESPAÇO DAS MULHERES NAS REDES DE FINANCIAMENTO DAS ELEIÇÕES DE 2008 E 2010 NO BRASIL</t>
  </si>
  <si>
    <t>800/2012</t>
  </si>
  <si>
    <t>Emerson Urizzi Cervi</t>
  </si>
  <si>
    <t>USO DE NOVAS TECNOLOGIAS NAS ELEIÇÕES MUNICIPAIS DE 2012: ANÁLISE COMPARATIVA DE CANDIDATOS NOS PRINCIPAIS MUNICÍPIOS DO PRUSO DE NOVAS TECNOLOGIAS NAS ELEIÇÕES MUNICIPAIS DE 2012: ANÁLISE COMPARATIVA DE CANDIDATOS NOS PRINCIPAIS MUNICÍPIOS DO PR</t>
  </si>
  <si>
    <t>801/2012</t>
  </si>
  <si>
    <t>AVALIAÇÃO DE LINHAGENS BACTERIANAS DEGRADADORAS DE HERBICIDAS RELACIONADOS AO EFEITO RESIDUAL EM SOLO SUBMETIDO AO SISTEMA DE ROTAÇÃO DE CULTURAS AGRÍCOLAS</t>
  </si>
  <si>
    <t>802/2012</t>
  </si>
  <si>
    <t>Adriel Ferreira da Fonseca</t>
  </si>
  <si>
    <t>INTENSIFICAÇÃO ECOLÓGICA E ADUBAÇÃO NITROGENADA PARA ALTA PRODUTIVIDADE DE MILHO EM PONTA GROSSA</t>
  </si>
  <si>
    <t>803/2012</t>
  </si>
  <si>
    <t>CONTROLE GENÉTICO DA RESISTÊNCIA À ANTRACNOSE DO COLMO EM LINHAGENS ENDOGÂMICAS DE MILHO TROPICAL</t>
  </si>
  <si>
    <t>804/2012</t>
  </si>
  <si>
    <t>Neyde Fabíola Balarezo Giarola</t>
  </si>
  <si>
    <t>TEMPO DE IMPLANTAÇÃO DO SISTEMA PLANTIO DIRETO E ATRIBUTOS FÍSICOS DE CAMBISSOLOS HÁPLICOS DA REGIÃO CENTRO-SUL DO PARANÁ</t>
  </si>
  <si>
    <t>805/2012</t>
  </si>
  <si>
    <t>DESENVOLVIMENTO E AVALIAÇÃO DE MICROPARTÍCULAS POLIMÉRICAS CONTENDO MANIDIPINA</t>
  </si>
  <si>
    <t>806/2012</t>
  </si>
  <si>
    <t>AVALIAÇÃO CLÍNICA DA PERCEPÇÃO DA DOR DURANTE RASPAGEM E ALISAMENTO RADICULAR, UTILIZANDO ANESTESIA LOCAL NÃO INVASIVA COM GEL LIPOSSOMAL TERMOSENSÍVEL DE LIDOCAÍNA/PRILOCAÍNA.</t>
  </si>
  <si>
    <t>807/2012</t>
  </si>
  <si>
    <t>João Carlos Gomes</t>
  </si>
  <si>
    <t>INFLUÊNCIA DE DIFERENTES CERÂMICAS SOBRE O GRAU DE CONVERSÃO DE DOIS CIMENTOS RESINOSOS DUAIS.</t>
  </si>
  <si>
    <t>808/2012</t>
  </si>
  <si>
    <t>AVALIAÇÃO DO EFEITO DE UM INIBIDOR SELETIVO PARA COX-2 SOBRE O INFARTO MIOCÁRDICO NA VIGÊNCIA DE PERIODONTITE</t>
  </si>
  <si>
    <t>809/2012</t>
  </si>
  <si>
    <t>Osnara Maria Mongruel Gomes</t>
  </si>
  <si>
    <t>AVALIAÇÃO DA RESISTÊNCIA À FRATURA DE RAÍZES ENFRAQUECIDAS APLICANDO DIFERENTES MODALIDADES RESTAURADORAS PARA CIMENTAÇÃO DE PINOS DE FIBRA.</t>
  </si>
  <si>
    <t>810/2012</t>
  </si>
  <si>
    <t>Gustavo Hiroshi Sera</t>
  </si>
  <si>
    <t>DESENVOLVIMENTO DE CULTIVARES DE CAFÉ RESISTENTES AOS NEMATÓIDES MELOIDOGYNE PARANAENSIS, M. EXIGUA E M. INCOGNITA, ADAPTADAS AO ESTADO DO PARANÁ.</t>
  </si>
  <si>
    <t>811/2012</t>
  </si>
  <si>
    <t>Deoclecio Domingos Garbuglio</t>
  </si>
  <si>
    <t>PLATAFORMA NÚCLEO 1 – SISTEMA ON-LINE PARA CONTROLE DE SEMENTES GENÉTICAS DE CEREAIS DE INVERNO</t>
  </si>
  <si>
    <t>812/2012</t>
  </si>
  <si>
    <t>Eduardo Fermino Carlos</t>
  </si>
  <si>
    <t>TRANSFORMAÇÃO GENÉTICA DE CITROS VISANDO RESISTÊNCIA A ESTRESSES ABIÓTICOS ATRAVÉS DO ACÚMULO DO AMINOÁCIDO PROLINA</t>
  </si>
  <si>
    <t>813/2012</t>
  </si>
  <si>
    <t>Andressa Cristina Zamboni Machado</t>
  </si>
  <si>
    <t>AVALIAÇÃO DO TRATAMENTO DE SEMENTES VISANDO O CONTROLE DE FITONEMATOIDES</t>
  </si>
  <si>
    <t>814/2012</t>
  </si>
  <si>
    <t>Christian Macagnan Probst</t>
  </si>
  <si>
    <t>ANÁLISE EM LARGA ESCALA DA TAXA DE SÍNTESE E DEGRADAÇÃO DE MRNAS EM TRYPANOSOMA CRUZI</t>
  </si>
  <si>
    <t>815/2012</t>
  </si>
  <si>
    <t>CARACTERIZAÇÃO E ESTUDO DA FUNÇÃO DOS GRÂNULOS CITOPLÁSMICOS QUE CONTÊM MRNA (PROCESSING BODIES E GRÂNULOS DE ESTRESSE) EM CÉLULAS-TRONCO MESENQUIMAIS HUMANAS ISOLADAS DO TECIDO ADIPSO.</t>
  </si>
  <si>
    <t>816/2012</t>
  </si>
  <si>
    <t>Juliano Bordignon</t>
  </si>
  <si>
    <t>ESTUDO DA EPIDEMIA DE DENGUE NA REGIÃO NORTE DO PARANÁ: ANÁLISE DE MARCADORES MOLECULARES DE VIRULÊNCIA E DA RESPOSTA DO HOSPEDEIRO HUMANO</t>
  </si>
  <si>
    <t>817/2012</t>
  </si>
  <si>
    <t>Celio Roberto Estanislau</t>
  </si>
  <si>
    <t>DIFERENÇAS INDIVIDUAIS NO COMPORTAMENTO DE LIMPEZA EM RATOS: ELEMENTOS PARA O DESENVOLVIMENTO DE UM MODELO ANIMAL DE TRANSTORNO OBSESSIVO-COMPULSIVO</t>
  </si>
  <si>
    <t>818/2012</t>
  </si>
  <si>
    <t>Ercília Hitomi Hirota</t>
  </si>
  <si>
    <t>IMPLEMENTAÇÃO DE MELHORIA CONTÍNUA EM EMPRESAS CONSTRUTORAS</t>
  </si>
  <si>
    <t>819/2012</t>
  </si>
  <si>
    <t>José Alexandre de França</t>
  </si>
  <si>
    <t>PROJETO E DESENVOLVIMENTO DE UM SISTEMA DE QUANTIFICAÇÃO DA ÁGUA NO LEITE BASEADO EM REFLEXÃO DIFUSA DO INFRAVERMELHO PRÓXIMO</t>
  </si>
  <si>
    <t>820/2012</t>
  </si>
  <si>
    <t>Emília Kiyomi Kuroda</t>
  </si>
  <si>
    <t>PROCESSOS ESPECÍFICOS PARA TRATAMENTO DE ÁGUAS PARA ABASTECIMENTO E ÁGUAS RESIDUÁRIAS</t>
  </si>
  <si>
    <t>821/2012</t>
  </si>
  <si>
    <t>José Paulo Peccinini Pinese</t>
  </si>
  <si>
    <t>HIDROGEOQUÍMICA E DISTRIBUIÇÃO DOS TEORES DE FLÚOR DAS PRINCIPAIS FONTES DE ABASTECIMENTO PÚBLICO NA REGIONAL DE SAÚDE DE LONDRINA (PR) E CORRELAÇÕES COM ÍNDICES DE FLÚOROSE DENTÁRIA</t>
  </si>
  <si>
    <t>822/2012</t>
  </si>
  <si>
    <t>Vera Lúcia Lopes Cristovão</t>
  </si>
  <si>
    <t>O USO DA LÍNGUA INGLESA COMO INSTRUMENTO PARA EDUCAÇÃO AMBIENTAL NA FORMAÇÃO PROFISSIONAL</t>
  </si>
  <si>
    <t>823/2012</t>
  </si>
  <si>
    <t>Luiz Carlos Santos Simon</t>
  </si>
  <si>
    <t>RETRATOS CONTEMPORÂNEOS DA INTIMIDADE NO CONTO E NA CRÔNICA</t>
  </si>
  <si>
    <t>824/2012</t>
  </si>
  <si>
    <t>Mario Lemes Proença Jr.</t>
  </si>
  <si>
    <t>DETECÇÃO DE ANOMALIAS EM REDES UTILIZANDO ASSINATURA DIGITAL DE SEGMENTOS DE ANALISADO</t>
  </si>
  <si>
    <t>825/2012</t>
  </si>
  <si>
    <t>Carmen Luísa Barbosa Guedes</t>
  </si>
  <si>
    <t>ESTUDO DE MICRO-EMULSÕES DE BIO-ÓLEO E ÓLEO COMBUSTÍVEL PARA USO NA GERAÇÃO DE ENERGIA EM TERMELÉTRICAS</t>
  </si>
  <si>
    <t>826/2012</t>
  </si>
  <si>
    <t>Suzana Lucy Nixdorf</t>
  </si>
  <si>
    <t>ESTUDO DA COMPOSIÇÃO DE CARBOIDRATOS TOTAIS E LIVRES POR DIFERENTES MÉTODOS VISANDO CARACTERIZAR QUALIDADE VERSUS ADULTERAÇÕES NO CAFÉ</t>
  </si>
  <si>
    <t>827/2012</t>
  </si>
  <si>
    <t>Maria Inês Tomaél</t>
  </si>
  <si>
    <t>SISTEMA DE INOVAÇÃO NA ATUAÇÃO DO PROFISSIONAL DA INFORMAÇÃO</t>
  </si>
  <si>
    <t>828/2012</t>
  </si>
  <si>
    <t>Luiz Henrique Dall Antonia</t>
  </si>
  <si>
    <t>COORDENAÇÃO DO LABORATÓRIO DE ELETROQUÍMICA E MATERIAIS NO DESENVOLVIMENTO DE FOTOELETRODOS BASEADOS EM VANADATO DE BISMUTO</t>
  </si>
  <si>
    <t>829/2012</t>
  </si>
  <si>
    <t>Enio Ricardo Vaz Ronque</t>
  </si>
  <si>
    <t>CRESCIMENTO FÍSICO, MATURAÇÃO BIOLÓGICA, COMPOSIÇÃO CORPORAL E DESEMPENHO EM JOVENS ATLETAS DE FUTEBOL: UM ESTUDO LONGITUDINAL</t>
  </si>
  <si>
    <t>830/2012</t>
  </si>
  <si>
    <t>DESENVOLVIMENTO TECNOLÓGICO DE SISTEMAS MICROENCAPSULADOS DE LIBERAÇÃO PROLONGADA UTILIZANDO D-FRUTOSE-1,6-DIFOSFATO, COM AVALIAÇÃO DA SUA EFICÁCIA ANALGÉSICA E ANTIINFLAMATÓRIA IN VIVO EM CAMUNDONGOS</t>
  </si>
  <si>
    <t>831/2012</t>
  </si>
  <si>
    <t>REDUÇÃO DA INFLAMAÇÃO CUTÂNEA INDUZIDA PELA IRRADIAÇÃO UVB EM CAMUNDONGOS SEM PÊLO: EFEITO TERAPÊUTICO, MECANISMOS DE AÇÃO E DESENVOLVIMENTO DE FORMULAÇÃO TÓPICA CONTENDO DITIOCARBAMATO DE PIRROLIDINA</t>
  </si>
  <si>
    <t>832/2012</t>
  </si>
  <si>
    <t>TRADUÇÃO TRANSCULTURAL E VALIDAÇÃO DE UM INSTRUMENTO PARA AVALIAÇÃO DOS FATORES DE ESTRESSE EM ACADÊMICOS DE ODONTOLOGIA</t>
  </si>
  <si>
    <t>833/2012</t>
  </si>
  <si>
    <t>Rubens Cecchini</t>
  </si>
  <si>
    <t>CARACTERIZAÇÃO DO ESTRESSE OXIDATIVO E DO PERFIL PROTEÔMICO EM PLASMA E TECIDO TUMORAL DE MAMA HUMANA NOS ESTADIOS INICIAL E AVANÇADO</t>
  </si>
  <si>
    <t>834/2012</t>
  </si>
  <si>
    <t>Jeane Barcelos Soriano</t>
  </si>
  <si>
    <t>FORMAÇÃO ACADÊMICA E CIENTÍFICA NOS PROGRAMAS DE PÓS-GRADUAÇÃO STRICTO SENSU EM EDUCAÇÃO FÍSICA</t>
  </si>
  <si>
    <t>835/2012</t>
  </si>
  <si>
    <t>Inara Marques</t>
  </si>
  <si>
    <t>ANÁLISE DO EFEITO DA PRATICA DE EXERCICIOS FISICOS NO CONTROLE POSTURAL E DEMANDA DE ATENÇAO DE IDOSOS</t>
  </si>
  <si>
    <t>836/2012</t>
  </si>
  <si>
    <t>Silvia Regina de Souza</t>
  </si>
  <si>
    <t>EFEITOS DE UM JOGO DE DOMINÓ ADAPTADO PARA O ENSINO DE RELAÇÕES MONETÁRIAS A PRÉ-ESCOLARES</t>
  </si>
  <si>
    <t>837/2012</t>
  </si>
  <si>
    <t>TÉCNICA, TECNOLOGIA E EDUCAÇÃO EM HEIDEGGER E SIMONDON: DESTRUIÇÃO DO PENSAMENTO OU AMPLIAÇÃO DA EXPERIÊNCIA?</t>
  </si>
  <si>
    <t>838/2012</t>
  </si>
  <si>
    <t>SENSO DE PRESENÇA E DESEMPENHO EM AMBIENTES VIRTUAIS</t>
  </si>
  <si>
    <t>839/2012</t>
  </si>
  <si>
    <t>USO DA ESPECTROSCOPIA DE INFRAVERMELHO PRÓXIMO (NIRS) COMO FERRAMENTA PARA CARACTERIZAÇÃO QUÍMICA E MINERALÓGICA DE SOLOS DA REGIÃO NORTE DO PARANÁ.</t>
  </si>
  <si>
    <t>840/2012</t>
  </si>
  <si>
    <t>Ines Cristina de Batista Fonseca</t>
  </si>
  <si>
    <t>ADUBAÇÃO NITROGENADA E SULFATADA EM COBERTURA NO RENDIMENTO E QUALIDADE DE GRÃOS EM CULTIVARES DE TRIGO</t>
  </si>
  <si>
    <t>841/2012</t>
  </si>
  <si>
    <t>Lucia Giuliano Caetano</t>
  </si>
  <si>
    <t>ESTUDO CITOGENÉTICO DE LORICARIINAE: LORICARIICHTHYS E RINELORICARIA</t>
  </si>
  <si>
    <t>842/2012</t>
  </si>
  <si>
    <t>Wander Rogerio Pavanelli</t>
  </si>
  <si>
    <t>PAPEL DO NITROPRUSSIATO NA RESPOSTA INFLAMATÓRIA INDUZIDA CONTRA LEISHMANIA AMAZONENSIS</t>
  </si>
  <si>
    <t>843/2012</t>
  </si>
  <si>
    <t>Rosa Elisa Carvalho Linhares</t>
  </si>
  <si>
    <t>EFEITO DE POLISSACARÍDEOS E FRAÇÕES ISOLADOS DE COGUMELOS E PLANTA NA REPLICAÇÃO VIRAL</t>
  </si>
  <si>
    <t>844/2012</t>
  </si>
  <si>
    <t>Gislayne F. L. Trindade Vilas-Bôas</t>
  </si>
  <si>
    <t>ESTUDO DA DIVERSIDADE E DESENVOLVIMENTO DE UM BANCO DE GENES CRY DE BACILLUS THURINGIENSIS</t>
  </si>
  <si>
    <t>845/2012</t>
  </si>
  <si>
    <t>MECANISMOS DE ATIVAÇÃO E INVASÃO DE FAGÓCITOS PELO PROTOZOÁRIO TRYPANOSOMA CRUZI: RELAÇÕES ENTRE EICOSANÓIDES, ÓXIDO NÍTRICO E C-AMP</t>
  </si>
  <si>
    <t>846/2012</t>
  </si>
  <si>
    <t>Lucy Megumi Yamauchi Lioni</t>
  </si>
  <si>
    <t>AVALIAÇÃO DA ATIVIDADE ANTIMALÁRICA DOS EXTRATOS E DE ALCALÓIDES DE ASPIDOSPERMA POLYNEURON [APOCINACEAE]</t>
  </si>
  <si>
    <t>847/2012</t>
  </si>
  <si>
    <t>ANÁLISE DA PRODUÇÃO DE FATOR HEMOLÍTICO POR ISOLADOS CLÍNICOS DE CANDIDA SPP</t>
  </si>
  <si>
    <t>848/2012</t>
  </si>
  <si>
    <t>ABELHAS DAS ORQUÍDEAS: UMA ABORDAGEM MOLECULAR VISANDO À CONSERVAÇÃO DE POPULAÇÕES E A RESOLUÇÃO DE PROBLEMAS TAXONÔMICOS DO GRUPO.</t>
  </si>
  <si>
    <t>849/2012</t>
  </si>
  <si>
    <t>Sueli Fumie Yamada Ogatta</t>
  </si>
  <si>
    <t>SELEÇÃO DE SUBSTÂNCIAS OBTIDAS DE PLANTAS MEDICINAIS E PSEUDOMONAS SP. COM POTENCIAL ANTIFÚNGICO SOBRE CÉLULAS PLANCTÔNICAS E SÉSSEIS DE CANDIDA SPP.</t>
  </si>
  <si>
    <t>850/2012</t>
  </si>
  <si>
    <t>TerezaCristina Rocha Moreira de Oliveira</t>
  </si>
  <si>
    <t>PADRONIZAÇÃO DO SISTEMA TAQMAN PARA DETECÇÃO E QUANTIFICAÇÃO DE SALMONELLA E CAMPYLOBACTER EM ALIMENTOS POR PCR EM TEMPO REAL</t>
  </si>
  <si>
    <t>851/2012</t>
  </si>
  <si>
    <t>André Luiz Joanilho</t>
  </si>
  <si>
    <t>O PENSAMENTO NÔMADE: UMA GENEALOGIA DA MILITÂNCIA POLÍTICA</t>
  </si>
  <si>
    <t>852/2012</t>
  </si>
  <si>
    <t>Sandra Helena Prudencio</t>
  </si>
  <si>
    <t>SUCO DE MAÇÃ SIMBIÓTICO COM OLIGOFRUTOSE COMO SUBSTITUTO DE AÇÚCAR: INFLUÊNCIA DA CULTURA PROBIÓTICA E OLIGOFRUTOSE NAS CARACTERÍSTICAS FÍSICO-QUÍMICAS E MICROBIOLÓGICAS E NA ACEITAÇÃO SENSORIAL</t>
  </si>
  <si>
    <t>853/2012</t>
  </si>
  <si>
    <t>Luciano Munck</t>
  </si>
  <si>
    <t>COMPETÊNCIAS E SUSTENTABILIDADE ORGANIZACIONAL: APROXIMANDO, COMPREENDENDO E INTEGRANDO CONCEITOS, PRINCÍPIOS E PRÁTICAS</t>
  </si>
  <si>
    <t>854/2012</t>
  </si>
  <si>
    <t>Suzana Mali de Oliveira</t>
  </si>
  <si>
    <t>DESENVOLVIMENTO DE EMBALAGENS BIODEGRADÁVEIS A PARTIR DE AMIDO DE MANDIOCA E RESÍDUOS FIBROSOS DA AGROINDÚSTRIA</t>
  </si>
  <si>
    <t>855/2012</t>
  </si>
  <si>
    <t>Júlio Cesar Nievola</t>
  </si>
  <si>
    <t>CLASSIFICAÇÃO HIERÁRQUICA DA FUNÇÃO DE PROTEÍNAS USANDO INTELIGÊNCIA COMPUTACIONAL</t>
  </si>
  <si>
    <t>856/2012</t>
  </si>
  <si>
    <t>Maria Elisabeth Blanck Miguel</t>
  </si>
  <si>
    <t>A FORMAÇÃO DE PROFESSORES NO CONTEXTO DAS POLÍTICAS PÚBLICAS NACIONAIS E INTERNACIONAIS</t>
  </si>
  <si>
    <t>857/2012</t>
  </si>
  <si>
    <t>Patricia Lupion Torres</t>
  </si>
  <si>
    <t>APRENDIZAGEM COLABORATIVA E MAPAS CONCEITUAIS: UMA PROPOSTA DE FORMAÇÃO CONTINUADA ONLINE PARA PROFESSORES QUE ATUAM NO ENSINO FUNDAMENTAL</t>
  </si>
  <si>
    <t>858/2012</t>
  </si>
  <si>
    <t>Carmen Lúcia Kuniyoshi Rebelatto</t>
  </si>
  <si>
    <t>AVALIAÇÃO DA INTERFACE OSSO/IMPLANTE EM MANDÍBULA DE MINIPORCOS IRRADIADOS E O USO DE CÉLULAS-TRONCO NA OSSEOINTEGRAÇÃO</t>
  </si>
  <si>
    <t>859/2012</t>
  </si>
  <si>
    <t>Marcia Regina Cubas</t>
  </si>
  <si>
    <t>SUBCONJUNTO TERMINOLÓGICO DA CIPE® DIRECIONADO À ATENÇÃO BÁSICA DE SAÚDE E SUA REPRESENTAÇÃO POR MEIO DE UMA ONTOLOGIA</t>
  </si>
  <si>
    <t>860/2012</t>
  </si>
  <si>
    <t>Marcia Carla Pereira Ribeiro</t>
  </si>
  <si>
    <t>EFEITOS ECONÔMICOS E SOCIAIS DA INTERVENÇÃO DO ESTADO NA ECONOMIA: O CASO DO SETOR DE BEBIDAS FRIAS</t>
  </si>
  <si>
    <t>861/2012</t>
  </si>
  <si>
    <t>Francisco Verardi Bocca</t>
  </si>
  <si>
    <t>PAIXÕES E VIDA: DOS ANTECEDENTES NA MODERNIDADE À PSICANÁLISE</t>
  </si>
  <si>
    <t>862/2012</t>
  </si>
  <si>
    <t>Mario Antonio Sanches</t>
  </si>
  <si>
    <t>ELABORAÇÃO E VALIDAÇÃO DE INSTRUMENTO PARA AVALIAR OS ‘PLANEJAMENTO DA PARENTALIDADE’ NO CONTEXTO DA TEOLOGIA</t>
  </si>
  <si>
    <t>863/2012</t>
  </si>
  <si>
    <t>Horacio Luján Martínez</t>
  </si>
  <si>
    <t>“WITTGENSTEIN E A TEORIA POLÍTICA: A NOÇÃO DE ‘CONCORDÂNCIA DE FORMAS DE VIDA’ E A SUA IMPORTÂNCIA NO PROJETO DE ‘DEMOCRACIA RADICAL’ DE CHANTAL MOUFFE”.</t>
  </si>
  <si>
    <t>864/2012</t>
  </si>
  <si>
    <t>Edvaldo Antonio Ribeiro Rosa</t>
  </si>
  <si>
    <t>SOLICITAÇÃOP DE BOLSA DE PRODUTIVIDADE EM PESQUISA</t>
  </si>
  <si>
    <t>865/2012</t>
  </si>
  <si>
    <t>CIDADE DIGITAL ESTRATÉGICA: FORMAS E MODELOS DE IMPLANTAÇÃO EM MUNICÍPIOS E PREFEITURAS PARANAENSES</t>
  </si>
  <si>
    <t>866/2012</t>
  </si>
  <si>
    <t>Andréia Buttner Ciani</t>
  </si>
  <si>
    <t>Participação no V Seminário Internacional de Pesquisa em Educação Matemática.</t>
  </si>
  <si>
    <t>867/2012</t>
  </si>
  <si>
    <t>Maria Luisa Tunes Buschini</t>
  </si>
  <si>
    <t>REDES TRÓFICAS DE VESPAS E ABELHAS QUE NIDIFICAM EM NINHOS-ARMADILHA EM ÁREAS DE FLORESTA OMBRÓFILA MISTA E EM CULTIVOS ORGÂNICOS DE MORANGO.</t>
  </si>
  <si>
    <t>868/2012</t>
  </si>
  <si>
    <t>VARIAÇÃO E DIFERENCIAÇÃO POPULACIONAL DE DUAS ESPÉCIES DE DROSOPHILA DO GRUPO GUARANI</t>
  </si>
  <si>
    <t>869/2012</t>
  </si>
  <si>
    <t>INSERÇÃO INTERNACIONAL DE GOVERNOS LOCAIS E O REPENSAR DE ESCALAS GEOGRÁFICAS</t>
  </si>
  <si>
    <t>870/2012</t>
  </si>
  <si>
    <t>Fernando Franco Netto</t>
  </si>
  <si>
    <t>PARANÁ: PECUÁRIA, LAVOURA DE ALIMENTOS , ESCRAVOS E PADRÕES DE RIQUEZA NA SEGUNDA METADE DO XIX</t>
  </si>
  <si>
    <t>871/2012</t>
  </si>
  <si>
    <t>Angela Maria Hidalgo</t>
  </si>
  <si>
    <t>OS ASPECTOS POLÍTICOS E EPISTEMOLÓGICOS DAS PROPOSTAS PARA A EDUCAÇÃO RURAL/DO CAMPO, ELABORADAS PELOS GOVERNOS FEDERAL E DO ESTADO DO PARANÁ ENTRE 1947-1960 E A PARTIR DOS ANOS 1990.</t>
  </si>
  <si>
    <t>872/2012</t>
  </si>
  <si>
    <t>Najeh Maissar Khalil</t>
  </si>
  <si>
    <t>DESENVOLVIMENTO TECNOLÓGICO E AVALIAÇÃO DA ATIVIDADE ANTITUMORAL E ANTIOXIDANTE DE NANOPARTÍCULAS POLIMÉRICAS CONTENDO CURCUMINA E ÁCIDO ASCÓRBICO.</t>
  </si>
  <si>
    <t>873/2012</t>
  </si>
  <si>
    <t>Carlos Ricardo Maneck Malfatti</t>
  </si>
  <si>
    <t>ALTERAÇÕES NA LIPOPEROXIDAÇÃO, ATIVIDADE DE ATPASES DE MEMBRANA E SUA RELAÇÃO COM O GENÓTIPO DA ENZIMA CONVERSORA DA ANGIOTENSINA EM HIPERTENSOS TREINADOS AEROBICAMENTE</t>
  </si>
  <si>
    <t>874/2012</t>
  </si>
  <si>
    <t>CORPO, NATUREZA E EDUCAÇÃO NO ESTADO DO PARANÁ: O MOVIMENTO ESCOTEIRO EM GUARAPUAVA (1927-1936)</t>
  </si>
  <si>
    <t>875/2012</t>
  </si>
  <si>
    <t>ESTUDO DA SUSCETIBILIDADE A OCORRÊNCIA DE DESASTRES NATURAIS EM GUARAPUAVA/PR: UMA PROPOSTA PARA O ORDENAMENTO TERRITORIAL</t>
  </si>
  <si>
    <t>876/2012</t>
  </si>
  <si>
    <t>Claudio Jose de Almeida Mello</t>
  </si>
  <si>
    <t>INTEGRAÇÃO DE SABERES NA FORMAÇÃO DO LEITOR</t>
  </si>
  <si>
    <t>877/2012</t>
  </si>
  <si>
    <t>Sueli Pércio Quináia</t>
  </si>
  <si>
    <t>DETERMINAÇÃO DA ORIGEM GEOGRÁFICA DE MÉIS PRODUZIDOS NO ESTADO DO PARANÁ ATRAVÉS DO EMPREGO DE DIFERENTES FERRAMENTAS QUIMIOMÉTRICAS.</t>
  </si>
  <si>
    <t>878/2012</t>
  </si>
  <si>
    <t>Mikael Neumann</t>
  </si>
  <si>
    <t>AVALIAÇÃO BIOECONÔMICA DA CULTURA DO TRIGO (TRITICUM AESTIVUM CV. UMBU) PARA PRODUÇÃO DE GRÃOS E SILAGEM SUBMETIDA A REGIME DE CORTES.</t>
  </si>
  <si>
    <t>879/2012</t>
  </si>
  <si>
    <t>Paulo Costa de Oliveira Filho</t>
  </si>
  <si>
    <t>MAPEAMENTO DE ESTÁGIOS SUCESSIONAIS DA FLORESTA OMBRÓFILA MISTA UTILIZANDO UMA PLATAFORMA COGNITIVA OPEN SOURCE PARA A INTERPRETAÇÃO AUTOMÁTICAQ EM IMAGENS DIGITAIS DE ALTA RESOLUÇÃO</t>
  </si>
  <si>
    <t>880/2012</t>
  </si>
  <si>
    <t>Adriano de Oliveira Torres Carrasco</t>
  </si>
  <si>
    <t>“ESTUDO COMPARATIVO DE TÉCNICAS IMUNOLÓGICAS E MOLECULARES PARA DETECÇÃO DO VÍRUS DA DOENÇA DE NEWCASTLE EM AMOSTRAS TECIDUAIS DE POMBOS (COLUMBA LIVIA) E GALINHAS (GALLUS GALLUS) EXPERIMENTALMENTE INFECTADOS”</t>
  </si>
  <si>
    <t>881/2012</t>
  </si>
  <si>
    <t>Éverton Hillig</t>
  </si>
  <si>
    <t>ESTUDO DOS PARÂMETROS TÉCNICOS NA PRODUÇÃO DE CHAPAS DE PARTÍCULAS TIPO ORIENTED STRAND BOARD (OSB) UTILIZANDO RESÍDUOS DE MADEIRA.</t>
  </si>
  <si>
    <t>882/2012</t>
  </si>
  <si>
    <t>Paulo Roberto Da Silva</t>
  </si>
  <si>
    <t>VALIDAÇÃO DE MARCADORES E POSTULAÇÃO DE GENES PARA RESISTÊNCIA À FERRUGEM DA FOLHA EM CULTIVARES E LINHAGENS BRASILEIRAS DE TRIGO</t>
  </si>
  <si>
    <t>883/2012</t>
  </si>
  <si>
    <t>UNIOESTE</t>
  </si>
  <si>
    <t>Alexandre Felipe Fiuza</t>
  </si>
  <si>
    <t>MEMÓRIA, DITADURA E EXÍLIO: A TRAJETÓRIA DOS MÚSICOS NO BRASIL E NA ARGENTINA (DÉCADAS DE 1960 A 1980).</t>
  </si>
  <si>
    <t>884/2012</t>
  </si>
  <si>
    <t>Paulino José Orso</t>
  </si>
  <si>
    <t>LEVANTAMENTO DE FONTES À CERCA DA PEDAGOGIA HISTÓRICO-CRÍTICA (PHC) – PRIMEIRA PARTE.</t>
  </si>
  <si>
    <t>885/2012</t>
  </si>
  <si>
    <t>Lourdes Kaminski Alves</t>
  </si>
  <si>
    <t>OSWALD DE ANDRADE CRÍTICO: LITERATURA, ENSAIO E MEMÓRIA PÓS 1930</t>
  </si>
  <si>
    <t>886/2012</t>
  </si>
  <si>
    <t>OBSERVATÓRIO DA IMPRENSA: A CONSTRUÇÃO DA SEXUALIDADE</t>
  </si>
  <si>
    <t>887/2012</t>
  </si>
  <si>
    <t>João Carlos Cattelan</t>
  </si>
  <si>
    <t>OS HINOS NACIONAIS LATINO-AMERICANOS: DE QUEM, POR QUEM E PARA QUEM</t>
  </si>
  <si>
    <t>888/2012</t>
  </si>
  <si>
    <t>DIAGNÓSTICOS E APLICAÇÃO TEÓRICA EM SALA DE AULA: VERIFICAÇÃO DE RENDIMENTO E AVALIAÇÃO DO ENSINO DE ANÁLISE LINGUÍSTICA E PRODUÇÃO TEXTUAL DE ALUNOS DO ENSINO MÉDIO DE UMA ESCOLA PÚBLICA DO ESTADO DO PARANÁ</t>
  </si>
  <si>
    <t>889/2012</t>
  </si>
  <si>
    <t>PRÉ-PROCESSAMENTO DE FEIJÃO COMUM PARA REDUÇÃO DE TEMPO DE COZIMENTO</t>
  </si>
  <si>
    <t>890/2012</t>
  </si>
  <si>
    <t>Samuel Nelson Melegari de Souza</t>
  </si>
  <si>
    <t>VIABILIDADE DA GERAÇÃO DE ELETRICIDADE COM CONJUNTO MOTOR GERADOR A BIOGÁS NUMA PROPRIEDADE RURAL CONECTADA A REDE</t>
  </si>
  <si>
    <t>891/2012</t>
  </si>
  <si>
    <t>Reginaldo Ferreira Santos</t>
  </si>
  <si>
    <t>ARRANJO PRODUTIVO E ECONÔMICO DE PRODUÇÃO DE BIODIESEL PELA AGRICULTURA FAMILIAR EM ÁREA DE ASSENTAMENTO NO OESTE DO PARANÁ</t>
  </si>
  <si>
    <t>892/2012</t>
  </si>
  <si>
    <t>TRATAMENTO DE EFLUENTE DE ABATEDOURO E FRIGORÍFICO DE AVES EM REATOR COMBINADO ANAERÓBIO-AERÓBIO DE FLUXO CONTÍNUO VISANDO À REMOÇÃO DE MATÉRIA ORGÂNICA E À NITRIFICAÇÃO</t>
  </si>
  <si>
    <t>893/2012</t>
  </si>
  <si>
    <t>Rita de Cássia Garcia Simão</t>
  </si>
  <si>
    <t>ANÁLISE BIOQUÍMICA-FUNCIONAL DE GENES QUE CODIFICAM Β-XILOSIDASES DE CAULOBACTER CRESCENTUS E APLICAÇÃO NO APROVEITAMENTO DE RESÍDUOS AGROINDUSTRIAIS.</t>
  </si>
  <si>
    <t>894/2012</t>
  </si>
  <si>
    <t>Helcya Mime Ishiy Hulse</t>
  </si>
  <si>
    <t>Extensão Acadêmica</t>
  </si>
  <si>
    <t>Encontro de bolsistas extensionistas da UNICENTRO</t>
  </si>
  <si>
    <t>895/2012</t>
  </si>
  <si>
    <t>José Alexandre de Lucca</t>
  </si>
  <si>
    <t>II Seminário Paranaense sobre medicalização da educação e da sociedade - Das diferenças à inclusão pela educação e saúde.</t>
  </si>
  <si>
    <t>896/2012</t>
  </si>
  <si>
    <t>Anderson Ricardo Fréz</t>
  </si>
  <si>
    <t>I Simpósio Paranaense de Fisioterapia</t>
  </si>
  <si>
    <t>897/2012</t>
  </si>
  <si>
    <t>Ana Vitória Fischer da Silva</t>
  </si>
  <si>
    <t>I Rodada Tecnológica para Produtos Biotecnológicos em Nutrição Animal.</t>
  </si>
  <si>
    <t>899/2012</t>
  </si>
  <si>
    <t>Eraldo Schunk Silva</t>
  </si>
  <si>
    <t>IX Semana de Estatística e VIII Jornada de Estatística.</t>
  </si>
  <si>
    <t>900/2012</t>
  </si>
  <si>
    <t>Adalberto Koodi Takeda</t>
  </si>
  <si>
    <t>II SEATEMA - Semana de Engenharia Ambiental e Tecnologia em Meio Ambiente: Ações no presente para cuidar do futuro.</t>
  </si>
  <si>
    <t>901/2012</t>
  </si>
  <si>
    <t>Silvia Pereira Gonzaga de Moraes</t>
  </si>
  <si>
    <t>VII Encontro de Pesquisa em Educação - XIX Semana de Pedagogia da UEM: " Pedadogo e os processos educativos".</t>
  </si>
  <si>
    <t>902/2012</t>
  </si>
  <si>
    <t>Cristina Maria Zanette</t>
  </si>
  <si>
    <t>II Semana de Engenharia e Tecnologia em Alimentos</t>
  </si>
  <si>
    <t>903/2012</t>
  </si>
  <si>
    <t>Reinaldo Rodrigues Camacho</t>
  </si>
  <si>
    <t>XXIV Semana do Contador de Maringá</t>
  </si>
  <si>
    <t>904/2012</t>
  </si>
  <si>
    <t>Simpósio Acadêmico de Medicina</t>
  </si>
  <si>
    <t>905/2012</t>
  </si>
  <si>
    <t>Diálogo Direito e Economia 2012</t>
  </si>
  <si>
    <t>906/2012</t>
  </si>
  <si>
    <t>Marilise Aparecida dos Santos</t>
  </si>
  <si>
    <t>I Workshop de Metodologia Científica, Pesquisa e Inovação.</t>
  </si>
  <si>
    <t>907/2012</t>
  </si>
  <si>
    <t>Divair Christ</t>
  </si>
  <si>
    <t>XXIV Semana Acadêmica de Engenharia Agrícola</t>
  </si>
  <si>
    <t>908/2012</t>
  </si>
  <si>
    <t>Maria Lúcia Bonfleur</t>
  </si>
  <si>
    <t>VII Simpósio Médico Influências Ambientais na área da saúde II Jornada das Ligas Acadêmicas da UNIOESTE.</t>
  </si>
  <si>
    <t>909/2012</t>
  </si>
  <si>
    <t>Eliana Guidetti do Nascimento</t>
  </si>
  <si>
    <t>III Simpósio de Iniciação Científica Júnior</t>
  </si>
  <si>
    <t>910/2012</t>
  </si>
  <si>
    <t>Ciclo de Palestras - Conversas sobre a Educação. A Escola.</t>
  </si>
  <si>
    <t>911/2012</t>
  </si>
  <si>
    <t>Rodrigo Duarte Seabra</t>
  </si>
  <si>
    <t>VI Semana Tecnológica dos Cursos de Ciência da Computação e Sistemas de Informação: Governança Corporativa em TI e E-Commerce.</t>
  </si>
  <si>
    <t>912/2012</t>
  </si>
  <si>
    <t>Valéria Maria Barreto Motta dos Santos</t>
  </si>
  <si>
    <t>VI Encontro de Extensão da UNIFIL: Difusão de projetos acadêmicos.</t>
  </si>
  <si>
    <t>913/2012</t>
  </si>
  <si>
    <t>UENP CJ</t>
  </si>
  <si>
    <t>José Carlos da Silva</t>
  </si>
  <si>
    <t>V Jornada de Debates Encontro com a Filosofia e II Encontro de Iniciação Científica em Filosofia da UENP</t>
  </si>
  <si>
    <t>914/2012</t>
  </si>
  <si>
    <t>Roberto Carlos Massei</t>
  </si>
  <si>
    <t>XXIV Semana de História: História, Cultura e Trabalho/ IX Jornada de Ensino de História.</t>
  </si>
  <si>
    <t>915/2012</t>
  </si>
  <si>
    <t>Victor Hugo Alves Okazaki</t>
  </si>
  <si>
    <t>Semana da Educação Física e do Esporte</t>
  </si>
  <si>
    <t>916/2012</t>
  </si>
  <si>
    <t>Ciclo de debates sobre mobilidade urbana sustentável: Integrando bicicleta e qualidade de vida.</t>
  </si>
  <si>
    <t>917/2012</t>
  </si>
  <si>
    <t>Luciana Paula Castlho Barone</t>
  </si>
  <si>
    <t>VIII Mostra + Teatro da FAP</t>
  </si>
  <si>
    <t>918/2012</t>
  </si>
  <si>
    <t>Márcia Moraes</t>
  </si>
  <si>
    <t>VII Mostra de Dramaturgia e Encenação da FAP</t>
  </si>
  <si>
    <t>919/2012</t>
  </si>
  <si>
    <t>Najla Mehanna Momul</t>
  </si>
  <si>
    <t>II Semana das Licenciaturas e XVI Semana de Pedagogia</t>
  </si>
  <si>
    <t>920/2012</t>
  </si>
  <si>
    <t>Eric Gustavo Cardin</t>
  </si>
  <si>
    <t>X Semana Acadêmica de Ciências Sociais e I Seminário da Organização do Trabalho na cidade e no campo.</t>
  </si>
  <si>
    <t>921/2012</t>
  </si>
  <si>
    <t>Selmo José Bonatto</t>
  </si>
  <si>
    <t>I Feira das Profissionais da UNIOESTE - Campus de Cascavel</t>
  </si>
  <si>
    <t>922/2012</t>
  </si>
  <si>
    <t>Pitágoras Augusto Piana</t>
  </si>
  <si>
    <t>ESTRUTURAS DE COMUNIDADES DE PEIXES EM RESERVATÓRIOS NEOTROPICAIS</t>
  </si>
  <si>
    <t>923/2012</t>
  </si>
  <si>
    <t>Paulo Vanderlei Sanches</t>
  </si>
  <si>
    <t>DINÂMICA ESPAÇO TEMPORAL DO ICTIOPLÂNCTON EM UM TRECHO LÓTICO DO RIO PARANÁ SOB INFLUÊNCIA DE BARRAMENTOS</t>
  </si>
  <si>
    <t>924/2012</t>
  </si>
  <si>
    <t>Altevir Signor</t>
  </si>
  <si>
    <t>SUPLEMENTAÇÃO DE VITAMINA A EM DIETAS PARA O JUNDIÁ RHAMDIA VOULEZI</t>
  </si>
  <si>
    <t>925/2012</t>
  </si>
  <si>
    <t>CARACTERIZAÇÃO MICROMORFOLÓGICA DE DEPÓSITOS DE COLÚVIO EM AMBIENTE DE ARTICULAÇÃO ENCOSTA/CALHA FLUVIAL NO PLANALTO DE PALMAS/ÁGUA DOCE (PR), DEPRESSÃO PERIFÉRICA PAULISTA (SP) E PLANALTO DA BORBOREMA (PE) - CONTRIBUIÇÃO PARA ENTENDIMENTO DOS PROCESSOS SEDIMENTARES DO QUARTENÁRIO CONTINENTAL DO BRASIL</t>
  </si>
  <si>
    <t>926/2012</t>
  </si>
  <si>
    <t>Maximiliane Alavarse Zambom</t>
  </si>
  <si>
    <t>RESÍDUO DE CERVEJARIA SECO NA DIETA DE BOVINOS LEITEIROS</t>
  </si>
  <si>
    <t>927/2012</t>
  </si>
  <si>
    <t>Antonio Donizeti da Cruz</t>
  </si>
  <si>
    <t>CONSTRUÇÕES DO IMAGINÁRIO E CARTOGRAFIAS DA MEMÓRIA NO CONTEXTO DA LITERATURA DO PARANÁ: CONFLUÊNCIAS DA ARTE, LINGUAGEM E SOCIEDADE</t>
  </si>
  <si>
    <t>928/2012</t>
  </si>
  <si>
    <t>Marlene De Matos Malavasi</t>
  </si>
  <si>
    <t>DESENVOLVIMENTO DE TECNOLOGIA PARA SEMENTES E MUDAS DE ESPÉCIES LENHOSAS NATIVAS NA ÁREA DE INFLUÊNCIA DO RESERVATÓRIO DA HIDROELÉTRICA ITAIPU BINACIONAL</t>
  </si>
  <si>
    <t>929/2012</t>
  </si>
  <si>
    <t>CURVA DE CRESCIMENTO, PRODUÇÃO E ACÚMULO DE NUTRIENTES EM PINHÃO MANSO</t>
  </si>
  <si>
    <t>930/2012</t>
  </si>
  <si>
    <t>Vandeir Francisco Guimarães</t>
  </si>
  <si>
    <t>ASSOCIAÇÃO DE BACTÉRIAS DIAZOTRÓFICAS E PROMOTORAS DE CRESCIMENTO VEGETAL COM A CULTURA TRIGO E SUAS RELAÇÕES COM A ADUBAÇÃO NITROGENADA E DEFICIÊNCIA HÍDRICA: ASPECTOS FISIOLÓGICOS E BIOQUÍMICOS</t>
  </si>
  <si>
    <t>931/2012</t>
  </si>
  <si>
    <t>Sandra Marisa Pelloso</t>
  </si>
  <si>
    <t>MORBIDADE MATERNA EM UNIDADE DE TERAPIA INTENSIVA NO SUL DO BRASIL.</t>
  </si>
  <si>
    <t>932/2012</t>
  </si>
  <si>
    <t>Wilker Caetano</t>
  </si>
  <si>
    <t>SÍNTESE, CARACTERIZAÇÃO E ESTUDOS DAS PROPRIEDADES FÍSICO-QUÍMICAS DE NOVOS FOTOSSENSIBILIZADORES E ENCAPSULAMENTO EM FORMULAÇÕES BASEADAS EM SISTEMAS NANOESTRUTURADOS VISANDO APLICAÇÕES FOTODINÂMICAS</t>
  </si>
  <si>
    <t>933/2012</t>
  </si>
  <si>
    <t>Carlos José Braga Barros</t>
  </si>
  <si>
    <t>ESTABILIDADE PARA AÇÕES DE SEMIGRUPOS</t>
  </si>
  <si>
    <t>934/2012</t>
  </si>
  <si>
    <t>Arildo José Braz de Oliveira</t>
  </si>
  <si>
    <t>USOS E APLICAÇÕES DE POLISSACARÍDEOS OBTIDOS DE DIFERENTES FONTES NOS LABORATÓRIOS DE BIOTECNOLOGIA DE PRODUTOS NATURAIS E SINTÉTICOS (LABIPROS) E NO LABORATÓRIO DE ANÁLISES QUÍMICAS APLICADAS A BIOTECNOLOGIA (LABIOTEC)</t>
  </si>
  <si>
    <t>935/2012</t>
  </si>
  <si>
    <t>Josiney Alves de Souza</t>
  </si>
  <si>
    <t>ESTABILIDADE, CONTROLABILIDADE E ATRATORES GLOBAIS PARA AÇÕES DE SEMIGRUPOS.</t>
  </si>
  <si>
    <t>936/2012</t>
  </si>
  <si>
    <t>ESTABILIDADE ORBITAL PARA MODELOS DISPERSIVOS NÃO-LINEARES</t>
  </si>
  <si>
    <t>937/2012</t>
  </si>
  <si>
    <t>Nikolai Larkine</t>
  </si>
  <si>
    <t>DECAIMENTO DE SOLUÇOES PARA EQUAÇAO DE ZAKHAROV-KUZNETSOV EM DOMINIOS NAO LIMITADOS</t>
  </si>
  <si>
    <t>938/2012</t>
  </si>
  <si>
    <t>LITERATURA DE AUTORIA FEMININA CONTEMPORÂNEA: ESCOLHAS INCLUSIVAS?</t>
  </si>
  <si>
    <t>939/2012</t>
  </si>
  <si>
    <t>Juliano Desiderato Antonio</t>
  </si>
  <si>
    <t>UMA INVESTIGAÇÃO FUNCIONALISTA DA MARCAÇÃO FORMAL DE RELAÇÕES DE COERÊNCIA QUE ORGANIZAM O TEXTO</t>
  </si>
  <si>
    <t>940/2012</t>
  </si>
  <si>
    <t>PROCESSOS COM MEMBRANAS PARA A PURIFICAÇÃO DE BIODIESEL</t>
  </si>
  <si>
    <t>941/2012</t>
  </si>
  <si>
    <t>ESTUDO COMPARATIVO DA ETAPA DE SECAGEM TÉRMICA NA FABRICAÇÃO INDUSTRIAL DE PAPEL E DE PRODUTOS TÊXTEIS – FUNÇÃO ERRO NO AJUSTE DA CINÉTICA DE SECAGEM</t>
  </si>
  <si>
    <t>943/2012</t>
  </si>
  <si>
    <t>Camila da Silva</t>
  </si>
  <si>
    <t>AVANÇOS TECNOLÓGICOS NA PRODUÇÃO CONTÍNUA E NÃO CATALÍTICA DE BIODIESEL A PARTIR DE ÓLEO DE PINHÃO MANSO</t>
  </si>
  <si>
    <t>944/2012</t>
  </si>
  <si>
    <t>A QUESTÃO METROPOLITANA NO PARANÁ, LOCALISMOS E GEOGRAFIA SOCIAL DO VOTO – UM ESTUDO DAS ELEIÇÕES LEGISLATIVAS DE 2010</t>
  </si>
  <si>
    <t>945/2012</t>
  </si>
  <si>
    <t>Solange Ramos de Andrade</t>
  </si>
  <si>
    <t>HISTÓRIA DAS DEVOÇÕES MARIANAS NO PARANÁ: O SANTUÁRIO DE NOSSA SENHORA DO ROCIO EM PARANAGUÁ</t>
  </si>
  <si>
    <t>946/2012</t>
  </si>
  <si>
    <t>Maria Célia Cortêz Passetti</t>
  </si>
  <si>
    <t>ANÁLISE DO DISCURSO POLÍTICO-ELEITORAL NA CONTEMPORANEIDADE</t>
  </si>
  <si>
    <t>947/2012</t>
  </si>
  <si>
    <t>Luiza Helena Costa Dutra Sousa</t>
  </si>
  <si>
    <t>DESENVOLVIMENTO E IMPLEMENTAÇÃO DE PROJETO MECÂNICO - PERFURATRIZ HORIZONTAL</t>
  </si>
  <si>
    <t>948/2012</t>
  </si>
  <si>
    <t>Renata Corrêa Pascotto</t>
  </si>
  <si>
    <t>AVALIAÇÃO DA PERMEABILIDADE DO PERÓXIDO DE HIDROGÊNIO A 25% ATRAVÉS DA ESTRUTURA DENTÁRIA HUMANA POR MEIO DA MICROESPECTROSCOPIA RAMAN</t>
  </si>
  <si>
    <t>949/2012</t>
  </si>
  <si>
    <t>Miguel Machinski Junior</t>
  </si>
  <si>
    <t>APLICAÇÃO DE ÓLEOS ESSENCIAIS DE PLANTAS AROMÁTICAS PARA CONTROLE DE DETERIORAÇÃO E PRODUÇÃO DE TOXINAS POR FUNGOS EM ALIMENTOS</t>
  </si>
  <si>
    <t>950/2012</t>
  </si>
  <si>
    <t>Maria Helena Ambrósio Dias</t>
  </si>
  <si>
    <t>CHOQUES DE PRODUTIVIDADE E OS FLUXOS DE INVESTIMENTOS ESTRANGEIROS PARA O BRASIL</t>
  </si>
  <si>
    <t>951/2012</t>
  </si>
  <si>
    <t>Carlos Alberto de Bastos Andrade</t>
  </si>
  <si>
    <t>FIXAÇÃO BIOLÓGICA DE NITROGÊNIO EM GENÓTIPOS DE FEIJÃO-COMUM SUBMETIDOS À INOCULAÇÃO COM DIFERENTES ESTIRPES DE BACTÉRIAS NA REGIÃO NOROESTE DO PARANÁ.</t>
  </si>
  <si>
    <t>952/2012</t>
  </si>
  <si>
    <t>Lucio Tadeu Mota</t>
  </si>
  <si>
    <t>DESIGUAIS E COMBINADOS: A HISTÓRIA DOS ÍNDIOS KAINGANG NO VALE DO RIO TIBAGI, PR - 1889 A 1949 (CONTINUIDADE).</t>
  </si>
  <si>
    <t>953/2012</t>
  </si>
  <si>
    <t>Lenamar Fiorese Vieira</t>
  </si>
  <si>
    <t>IMPACTO DE VARIÁVEIS PSICOLÓGICAS SOBRE COMPORTAMENTOS RELACIONADOS À SAÚDE</t>
  </si>
  <si>
    <t>954/2012</t>
  </si>
  <si>
    <t>Marina Silva da Cunha</t>
  </si>
  <si>
    <t>MIGRAÇÃO NO PARANÁ: DIFERENÇAS REGIONAIS DE RENDA</t>
  </si>
  <si>
    <t>955/2012</t>
  </si>
  <si>
    <t>Angelo Aparecido Priori</t>
  </si>
  <si>
    <t>DOPS/PR - POLICIAMENTO POLÍTICO E REPRESSÃO CONTRA COMUNISTAS E OS MOVIMENTOS SOCIAIS NO CAMPO (2ª FASE)</t>
  </si>
  <si>
    <t>956/2012</t>
  </si>
  <si>
    <t>DIVERGÊNCIA GENÉTICA E ESTRUTURA DE POPULAÇÕES CULTIVADAS DE CEREUS PERUVIANUS MILL. (CACTACEAE)</t>
  </si>
  <si>
    <t>957/2012</t>
  </si>
  <si>
    <t>Clairce Luzia Salgueiro Pagadigorria</t>
  </si>
  <si>
    <t>ESTUDO DOS EFEITOS DA TIBOLONA SOBRE PARÂMETROS CARDIOVASCULARES E HEPÁTICOS DE RATAS WISTAR OVARIECTOMIZADAS HIPERTENSAS</t>
  </si>
  <si>
    <t>958/2012</t>
  </si>
  <si>
    <t>NEOGLICOGÊNESE INTESTINAL EM RATOS PORTADORES DE TUMOR DE WALKER 256 SUPLEMENTADOS COM L-GLUTAMINA 2%</t>
  </si>
  <si>
    <t>959/2012</t>
  </si>
  <si>
    <t>Eliane Gasparino</t>
  </si>
  <si>
    <t>EFEITO DA METIONINA E DO ESTRESSE TÉRMICO AGUDO SOBRE A EXPRESSÃO GÊNICA, PRODUÇÃO DE ROS E ATIVIDADE ENZIMÁTICA NO MÚSCULO E FÍGADO DE FRANGOS DE CORTE.</t>
  </si>
  <si>
    <t>960/2012</t>
  </si>
  <si>
    <t>Claudia Regina Dias Arieira</t>
  </si>
  <si>
    <t>SUSCETIBILIDADE E POTENCIALIDADE DO CRAMBE (CRAMBE ABYSSINICA) PARA O CONTROLE DE FITONEMATOIDES NA CULTURA DA SOJA</t>
  </si>
  <si>
    <t>961/2012</t>
  </si>
  <si>
    <t>Adilson Luiz Ramos</t>
  </si>
  <si>
    <t>TRATAMENTO PRECOCE DA MORDIDA ABERTA ANTERIOR</t>
  </si>
  <si>
    <t>962/2012</t>
  </si>
  <si>
    <t>PESQUISA E DESENVOLVIMENTO DE SISTEMAS BIOADESIVOS MICRO/NANOESTRUTURADOS PARA LIBERAÇÃO DE ATIVOS DE ORIGEM NATURAL</t>
  </si>
  <si>
    <t>963/2012</t>
  </si>
  <si>
    <t>Humberto Milani</t>
  </si>
  <si>
    <t>AVALIAÇÃO FARMACOGNÓSTICAE FARMACOLÓGICA DO ÓLEO DE PEIXE EM CONDIÇÕES EXPERIMENTAIS DE ISQUEMIA CEREBRAL</t>
  </si>
  <si>
    <t>964/2012</t>
  </si>
  <si>
    <t>AVALIAÇÃO DA RESISTÊNCIA DE DIFERENTES CLONES DE ´PÊRA` (CITRUS SINENSIS) À XANTHOMONAS CITRI SUBSP. CITRI</t>
  </si>
  <si>
    <t>965/2012</t>
  </si>
  <si>
    <t>Paulo Cesar Pozza</t>
  </si>
  <si>
    <t>VALIDAÇÃO DE EQUAÇÕES DE PREDIÇÃO DOS VALORES DE ENERGIA METABOLIZÁVEL DO FARELO DE SOJA PARA SUÍNOS</t>
  </si>
  <si>
    <t>966/2012</t>
  </si>
  <si>
    <t>Larissa Michelle Lara</t>
  </si>
  <si>
    <t>CENTRALIDADE DA CULTURA E QUALIDADE NA EDUCAÇÃO: PERSPECTIVAS DA EDUCAÇÃO FÍSICA ESCOLAR NA AMÉRICA LATINA</t>
  </si>
  <si>
    <t>967/2012</t>
  </si>
  <si>
    <t>Cézar de Alencar Arnaut de Toledo</t>
  </si>
  <si>
    <t>O COLÉGIO JESUÍTICO DE PARANAGUÁ NOS FUNDOS E COLEÇÕES DE DOCUMENTOS HISTÓRICOS DA BIBLIOTECA NACIONAL DO RIO DE JANEIRO</t>
  </si>
  <si>
    <t>968/2012</t>
  </si>
  <si>
    <t>ASSOCIAÇÃO ENTRE HPV E EXPRESSÃO DE ANTÍGENOS LEUCOCITÁRIOS HUMANOS (HLA) CLASSE I E II NA PROGRESSÃO DE LESÕES PRÉ-CANCEROSAS CERVICAIS DE MULHERES DO ESTADO DO PARANÁ/BRASIL</t>
  </si>
  <si>
    <t>969/2012</t>
  </si>
  <si>
    <t>PAGAMENTO E ENDIVIDAMENTO: ANÁLISE DOS ANTECEDENTES DA INADIMPLÊNCIA DOS DEVEDORES</t>
  </si>
  <si>
    <t>970/2012</t>
  </si>
  <si>
    <t>Liliana Maria Labronici</t>
  </si>
  <si>
    <t>O OLHAR DA ENFERMEIRA SOBRE O PROCESSO DE RESILIÊNCIA DE MULHERES COM CÂNCER DE MAMA</t>
  </si>
  <si>
    <t>971/2012</t>
  </si>
  <si>
    <t>AVALIAÇÃO DE PERFIL IMUNOGENÉTICO EM PACIENTES PORTADORAS DE LESÕES PRECURSSORAS DO CÂNCER DO COLO DO ÚTERO</t>
  </si>
  <si>
    <t>972/2012</t>
  </si>
  <si>
    <t>Luana Fischer</t>
  </si>
  <si>
    <t>PARTICIPAÇÃO DO SISTEMA OPIÓIDE ENDÓGENO NO EFEITO ANTINOCICEPTIVO INDUZIDO POR HORMÔNIOS SEXUAIS NA ARTICULAÇÃO TEMPOROMANDIBULAR DE RATOS.</t>
  </si>
  <si>
    <t>973/2012</t>
  </si>
  <si>
    <t>Geraldo Picheth</t>
  </si>
  <si>
    <t>DIABETES MELLITUS: BIOLOGIA MOLECULAR, BIOMARCADORES E BIOINFORMÁTICA</t>
  </si>
  <si>
    <t>974/2012</t>
  </si>
  <si>
    <t>Antonio Adilson Soares de Lima</t>
  </si>
  <si>
    <t>SALIVA, ANSIEDADE, DEPRESSÃO, DEPENDÊNCIA À NICOTINA E A QUALIDADE DE VIDA DE USUÁRIOS DE CRACK</t>
  </si>
  <si>
    <t>975/2012</t>
  </si>
  <si>
    <t>Claúdia Pereira Krueger</t>
  </si>
  <si>
    <t>POSICIONAMENTO POR SATELITES: INVESTIGAÇÃO DE ALGUMAS FONTES DE ERROS E COMO MINIMIZÁ-LOS.</t>
  </si>
  <si>
    <t>976/2012</t>
  </si>
  <si>
    <t>Papa Matar Ndiaye</t>
  </si>
  <si>
    <t>PURIFICAÇÃO DO BIODIESEL USANDO CO2 PRESSURIZADO</t>
  </si>
  <si>
    <t>977/2012</t>
  </si>
  <si>
    <t>SÍNTESE E ANÁLISE DE MÉTODOS E MODELOS PARA SIMULAÇÃO DE TRANSITÓRIOS ENVOLVENDO TRANSFORMADORES DE POTÊNCIA</t>
  </si>
  <si>
    <t>978/2012</t>
  </si>
  <si>
    <t>Michele Rigon Spier</t>
  </si>
  <si>
    <t>PRODUÇÃO, SEPARAÇÃO E RECUPERAÇÃO DE FITASES PARA A OBTENÇÃO DE UM NOVO PRODUTO COMERCIAL</t>
  </si>
  <si>
    <t>979/2012</t>
  </si>
  <si>
    <t>Elizete Maria Lourenço</t>
  </si>
  <si>
    <t>METODOLOGIAS DE ANÁLISE PARA SISTEMAS ELÉTRICOS EMERGENTES</t>
  </si>
  <si>
    <t>não tem dados em nenhuma das pastas diego</t>
  </si>
  <si>
    <t>980/2012</t>
  </si>
  <si>
    <t>Evaldo Ribeiro</t>
  </si>
  <si>
    <t>PROPRIEDADES ÓPTICAS DE ÓXIDOS SEMICONDUTORES E SISTEMAS NANOESTRUTURADOS</t>
  </si>
  <si>
    <t>981/2012</t>
  </si>
  <si>
    <t>Beatriz Helena L. de Noronha Sales Maia</t>
  </si>
  <si>
    <t>CONSTITUINTES QUÍMICOS DE SOLANUM CAAVURANA VELL.: ISOLAMENTO, MAPEAMENTO FITOQUÍMICO POR IES-EM/EM E SUA APLICAÇÃO NO TRATAMENTO DA HANSENÍASE</t>
  </si>
  <si>
    <t>982/2012</t>
  </si>
  <si>
    <t>Sonia Faria Zawadzki</t>
  </si>
  <si>
    <t>SÍNTESE E AVALIAÇÃO DE COMPOSIÇÕES URETÂNICAS OBTIDAS A PARTIR DE FONTES RENOVÁVEIS</t>
  </si>
  <si>
    <t>983/2012</t>
  </si>
  <si>
    <t>Anete Curte Ferraz</t>
  </si>
  <si>
    <t>ESTUDO DO ENVOLVIMENTO DOS RECEPTORES 5-HT1A PRÉ E PÓS-SINÁPTICOS NO EFEITO ANTIDEPRESSIVO DO ÓLEO DE PEIXE EM RATOS SUBMETIDOS AO TESTE DE NATAÇÃO FORÇADA MODIFICADO.</t>
  </si>
  <si>
    <t>984/2012</t>
  </si>
  <si>
    <t>Luís Fernando Fávaro</t>
  </si>
  <si>
    <t>BIOLOGIA REPRODUTIVA E ALIMENTAR DA ESPÉCIE EXÓTICA OPSANUS BETA (TELEOSTEI - BATRACHOIDIDAE) NO COMPLEXO ESTUARINO DE PARANAGUÁ, PARANÁ, BRASIL</t>
  </si>
  <si>
    <t>985/2012</t>
  </si>
  <si>
    <t>Giseli Klassen</t>
  </si>
  <si>
    <t>ESTUDO DA REGULAÇÃO DO PROMOTOR DO GENE MMP-2 POR METILAÇÃO DO DNA E SUA CORRELAÇÃO COM DADOS CLÍNICO PATOLÓGICOS EM PACIENTES COM CÂNCER DE MAMA</t>
  </si>
  <si>
    <t>986/2012</t>
  </si>
  <si>
    <t>Roseli Wassem</t>
  </si>
  <si>
    <t>TRANSCRIPTOMA DE PHASEOLUS VULGARIS DURANTE INTERAÇÃO COM RHIZOBIUM SP. NGR234</t>
  </si>
  <si>
    <t>987/2012</t>
  </si>
  <si>
    <t>Juliana Geremias Chichorro</t>
  </si>
  <si>
    <t>PADRONIZAÇÃO DE UM MODELO PARA O ESTUDO DA ENXAQUECA EM RATOS</t>
  </si>
  <si>
    <t>988/2012</t>
  </si>
  <si>
    <t>Anderson Joel Martino Andrade</t>
  </si>
  <si>
    <t>EFEITOS DOS PLASTIFICANTES DI-BUTIL FTALATO(DBP) E DI-ETILHEXIL FTALATO (DEHP) EM MODELOS ANIMAIS DE HIPERSENSIBILIDADE DE CONTATO</t>
  </si>
  <si>
    <t>989/2012</t>
  </si>
  <si>
    <t>Márcia Cristina Mendes Marques</t>
  </si>
  <si>
    <t>RESTAURAÇÃO DA FLORESTA ATLÂNTICA NO PARANÁ: RESILIÊNCIA FLORESTAL E MANEJO DE PASTAGENS ABANDONADAS</t>
  </si>
  <si>
    <t>990/2012</t>
  </si>
  <si>
    <t>Lilian Dena Dos Santos</t>
  </si>
  <si>
    <t>EXTRATO DE PRÓPOLIS PARA TILÁPIAS DO NILO NAS FASES INICIAIS DE CULTIVO SUBMETIDAS AO DESAFIO SANITÁRIO</t>
  </si>
  <si>
    <t>991/2012</t>
  </si>
  <si>
    <t>Adriane Bianchi Pedroni Medeiros</t>
  </si>
  <si>
    <t>DESENVOLVIMENTO DE BIOPROCESSOS PARA OBTENÇÃO DE COMPONENTES DE AROMAS E FRAGRÂNCIAS DE INTERESSE INDUSTRIAL</t>
  </si>
  <si>
    <t>992/2012</t>
  </si>
  <si>
    <t>Milton Ferreira de Moraes</t>
  </si>
  <si>
    <t>DEFINIÇÃO DE CRITÉRIOS PARA AVALIAÇÃO E SELEÇÃO DE GENÓTIPOS DE TRIGO PARA BIOFORTIFICAÇÃO EM SELÊNIO</t>
  </si>
  <si>
    <t>993/2012</t>
  </si>
  <si>
    <t>Luiz Laureno Mafra Jr.</t>
  </si>
  <si>
    <t>ACÚMULO E DEPURAÇÃO DE TOXINAS ALGAIS EM ESPÉCIES CULTIVÁVEIS DE MOLUSCOS BIVALVES</t>
  </si>
  <si>
    <t>994/2012</t>
  </si>
  <si>
    <t>Leandro Portz</t>
  </si>
  <si>
    <t>ENRRIQUECIMENTO NUTRICIONAL E AUMENTO DA SOBREVIVÊNCIA DE LARVAS DO PSEUDOPLATYSTOMA CORUSCANS X PSEUDOPLATISTOMA FASCIATUM (SURUBIM).</t>
  </si>
  <si>
    <t>995/2012</t>
  </si>
  <si>
    <t>José Guilherme Bersano Filho</t>
  </si>
  <si>
    <t>VARIAÇÃO TEMPORAL DA BIODIVERSIDADE, ABUNDÂNCIA E PRODUÇÃO SECUNDÁRIA DO ZOOPLÂNCTON EM PONTAL DO SUL – PR.</t>
  </si>
  <si>
    <t>996/2012</t>
  </si>
  <si>
    <t>Paulo Astor Soethe</t>
  </si>
  <si>
    <t>LITERATURA E INSERÇÃO DISCURSIVA: A FIGURAÇÃO DO BRASIL EM NARRATIVAS ALEMÃS MODERNAS E CONTEMPORÂNEAS</t>
  </si>
  <si>
    <t>997/2012</t>
  </si>
  <si>
    <t>Teresa Cristina Wachowicz</t>
  </si>
  <si>
    <t>PRIMITIVOS SEMÂNTICOS, NOMES E AQUISIÇÃO DE ESTRUTURA ARGUMENTAL NO PB</t>
  </si>
  <si>
    <t>998/2012</t>
  </si>
  <si>
    <t>SOBREVIVÊNCIA DE REDES SEM FIO COOPERATIVAS A UM BAIXO CONSUMO ENERGÉTICO</t>
  </si>
  <si>
    <t>999/2012</t>
  </si>
  <si>
    <t>Eduardo Lemos de Sa</t>
  </si>
  <si>
    <t>APLICAÇÕES DE MÉTODOS DE MECÂNICA-QUÂNTICA VISANDO O DESENVOLVIMENTO DE NOVOS MATERIAIS E FÁRMACOS</t>
  </si>
  <si>
    <t>1000/2012</t>
  </si>
  <si>
    <t>Laura Sánchez García</t>
  </si>
  <si>
    <t>COMPILADOR DE UM MODELO COMPUTACIONAL DA FONOLOGIA DA LIBRAS PARA O SIGNWRITING</t>
  </si>
  <si>
    <t>1001/2012</t>
  </si>
  <si>
    <t>Leonardo Magalhães Cruz</t>
  </si>
  <si>
    <t>ANÁLISE DA DIVERSIDADE BACTERIANA DA RIZOSFERA E DE ENDOFÍTICOS ASSOCIADOS À CULTURA DO TRIGO</t>
  </si>
  <si>
    <t>1003/2012</t>
  </si>
  <si>
    <t>Márcia Maria dos Santos Bortolocci Espejo</t>
  </si>
  <si>
    <t>O COMPORTAMENTO DA GERAÇÃO Y E SUA INFLUÊNCIA NA ADOÇÃO E PERFORMANCE DE PRÁTICAS DE CONTROLE GERENCIAL NAS ORGANIZAÇÕES</t>
  </si>
  <si>
    <t>1004/2012</t>
  </si>
  <si>
    <t>Carlos Alberto Medeiros Lima</t>
  </si>
  <si>
    <t>EXPERIÊNCIAS AFRICANAS NO PARANÁ E EM SÃO PAULO (PRIMEIRA METADE DO SÉCULO XIX)</t>
  </si>
  <si>
    <t>1005/2012</t>
  </si>
  <si>
    <t>EPISTEMOLOGIA DA GEOGRAFIA HUMANA: PERSPECTIVAS GNOSEOLÓGICAS DA GEOGRAFIA DA RELIGIÃO</t>
  </si>
  <si>
    <t>1006/2012</t>
  </si>
  <si>
    <t>BIOTECNOLOGIA E BIODIVERSIDADE: PROSPECÇÃO DE MOLÉCULAS BIOATIVAS DO VENENO E HEMOLINFA DA ARANHA-MARROM.</t>
  </si>
  <si>
    <t>1007/2012</t>
  </si>
  <si>
    <t>Joice Maria da Cunha</t>
  </si>
  <si>
    <t>MECANISMOS INTRACELULARES DEPENDENTES DE ÓXIDO NÍTRICO/ GMPC/PKG/ PI3K/AKT E CANAIS DE POTÁSSIO NA REFRATARIEDADE DA MORFINA NA DOR NEUROPÁTICA DIABÉTICA</t>
  </si>
  <si>
    <t>1008/2012</t>
  </si>
  <si>
    <t>Marcelo de Meira Santos Lima</t>
  </si>
  <si>
    <t>INVESTIGAÇÃO DE UM POSSÍVEL EFEITO MODULATÓRIO SOBRE A OLFAÇÃO PROMOVIDO SINERGICAMENTE PELA ASSOCIAÇÃO ENTRE PRIVAÇÃO DE SONO REM E LESÃO BILATERAL DA VIA NIGROESTRIATAL.</t>
  </si>
  <si>
    <t>1009/2012</t>
  </si>
  <si>
    <t>DROGAS QUE MODIFICAM O PERFIL LIPÍDICO: EFEITOS EM MODELO DE SEPSE POLIMICROBIANA EM RATOS</t>
  </si>
  <si>
    <t>1010/2012</t>
  </si>
  <si>
    <t>UNIUV</t>
  </si>
  <si>
    <t>Kelen dos Santos Junges</t>
  </si>
  <si>
    <t>IX Enaproc - Encontro Anual de Produção Científica</t>
  </si>
  <si>
    <t>1011/2012</t>
  </si>
  <si>
    <t>Armindo José Longhi</t>
  </si>
  <si>
    <t>12º Encontro de Iniciação Científica e de Pós-Graduação da UNESPAR - Campus de União da Vitória.</t>
  </si>
  <si>
    <t>1012/2012</t>
  </si>
  <si>
    <t>VII Encontro de Produção Científica e Tecnológica - EPCT</t>
  </si>
  <si>
    <t>1013/2012</t>
  </si>
  <si>
    <t>14º Congresso Paranaense de Pediatria</t>
  </si>
  <si>
    <t>1014/2012</t>
  </si>
  <si>
    <t>2º Encontro Paranaense de Melhoramento de Plantas</t>
  </si>
  <si>
    <t>1015/2012</t>
  </si>
  <si>
    <t>10º Encontro Científico Cultural Interinstitucional - ECCI</t>
  </si>
  <si>
    <t>1016/2012</t>
  </si>
  <si>
    <t>Leandro Henrique Magalhães</t>
  </si>
  <si>
    <t>XX Simpósio de Iniciação Científica da UNIFIL</t>
  </si>
  <si>
    <t>1017/2012</t>
  </si>
  <si>
    <t>Guaraci da Silva Lopes Martins</t>
  </si>
  <si>
    <t>III Encontro do Grupo de Pesquisa Arte, Educação e Formação Continuada</t>
  </si>
  <si>
    <t>1018/2012</t>
  </si>
  <si>
    <t>Luiz Antonio Zahdi Salgado</t>
  </si>
  <si>
    <t>Conexão#II : Homem-Máquina - Encontro do Núcleo de Arte e Tecnologia da FAP.</t>
  </si>
  <si>
    <t>1019/2012</t>
  </si>
  <si>
    <t>Wagner Luiz Ramos</t>
  </si>
  <si>
    <t>X Congresso de Educação Física e Fisioterapia da Universidade Estadual do Norte do Paraná.</t>
  </si>
  <si>
    <t>1020/2012</t>
  </si>
  <si>
    <t>Simone Luccas</t>
  </si>
  <si>
    <t>VI Seminário de Matemática: Formação de professores.</t>
  </si>
  <si>
    <t>1021/2012</t>
  </si>
  <si>
    <t>1º Congresso de Turismo dos Campos Gerais</t>
  </si>
  <si>
    <t>1022/2012</t>
  </si>
  <si>
    <t>Lucas Máximo Alves</t>
  </si>
  <si>
    <t>VII Encontro de refrataristas e usuários de refratários - Refratários para as indústrias de cimento e cal.</t>
  </si>
  <si>
    <t>1023/2012</t>
  </si>
  <si>
    <t>Sueli Pércio Quinaia</t>
  </si>
  <si>
    <t>IV Encontro de Discentes e Docentos do doutorado Associado UEL/UEPG/UNICENTRO - ED3AQ</t>
  </si>
  <si>
    <t>1024/2012</t>
  </si>
  <si>
    <t>Dalton Luiz Schiessel</t>
  </si>
  <si>
    <t>5ª Jornada de Nutrição - UNICENTRO</t>
  </si>
  <si>
    <t>1026/2012</t>
  </si>
  <si>
    <t>Luciano Carlos Utteich</t>
  </si>
  <si>
    <t>XVII Simpósio de Filosofia Moderna e Contemporânea da UNIOESTE.</t>
  </si>
  <si>
    <t>1027/2012</t>
  </si>
  <si>
    <t>Tânia Maria Rechia Schroeder</t>
  </si>
  <si>
    <t>III Simpósio Nacional de Educação e XXIII Semana de Pedagogia.</t>
  </si>
  <si>
    <t>1028/2012</t>
  </si>
  <si>
    <t>Juarez Bortolanza</t>
  </si>
  <si>
    <t>VII Encontro Científico de Ciências Sociais Aplicadas de Marechal Cândido Rondon: Tributação e seus reflexos.</t>
  </si>
  <si>
    <t>1029/2012</t>
  </si>
  <si>
    <t>Gerson Henrique da Silva</t>
  </si>
  <si>
    <t>I Congresso Nacional de Pesquisa em Ciências Sociais Aplicadas - I CONAPE.</t>
  </si>
  <si>
    <t>1030/2012</t>
  </si>
  <si>
    <t>Sebastião Cavalcanti Neto</t>
  </si>
  <si>
    <t>III Encontro de Administração, Ciências e Interdisciplinaridade do Litoral Paranaense - ENACIL / III Semana Acadêmica de Administração - SEMAD FAFIPAR</t>
  </si>
  <si>
    <t>1031/2012</t>
  </si>
  <si>
    <t>Simone Sartori Jabur</t>
  </si>
  <si>
    <t>I Seminário de Pesquisa, Extensão e Iniciação Científica da FAFIPAR.</t>
  </si>
  <si>
    <t>1032/2012</t>
  </si>
  <si>
    <t>I Simpósio Universidade Empreendedora do Litoral Paranaense - Empreende Litoral.</t>
  </si>
  <si>
    <t>1033/2012</t>
  </si>
  <si>
    <t>Toni andré Scharlau Vieira</t>
  </si>
  <si>
    <t>XI Politicom - Congresso Brasileiro de Marketing Político</t>
  </si>
  <si>
    <t>1034/2012</t>
  </si>
  <si>
    <t>Vinicius Figueiredo</t>
  </si>
  <si>
    <t>XV Encontro Nacional de Pós-Graduação em Filosofia</t>
  </si>
  <si>
    <t>1035/2012</t>
  </si>
  <si>
    <t>Carla Forte Maiolino Molento</t>
  </si>
  <si>
    <t>IV Encontro LABEA: Consciência e cognição animal - Uma homenagem a César Ades.</t>
  </si>
  <si>
    <t>1036/2012</t>
  </si>
  <si>
    <t>Aurora Trinidad Ramirez Pozo</t>
  </si>
  <si>
    <t>XI Simpósio Brasileiro de redes neurais.</t>
  </si>
  <si>
    <t>1038/2012</t>
  </si>
  <si>
    <t>Christel Lingnau</t>
  </si>
  <si>
    <t>X Seminário de atualização em sensoriamento remoto e sistemas de informações geográficas aplicados à Engenharia Florestal.</t>
  </si>
  <si>
    <t>1040/2012</t>
  </si>
  <si>
    <t>Meri Bordignon Nogueira</t>
  </si>
  <si>
    <t>Simpósio Internacional de variabilidade genéica dos vírus RNA.</t>
  </si>
  <si>
    <t>1041/2012</t>
  </si>
  <si>
    <t>Fernando Henrique Westphalen</t>
  </si>
  <si>
    <t>XVIII JABRO - Jornada Brasileira de Radiologia Odontológica</t>
  </si>
  <si>
    <t>1042/2012</t>
  </si>
  <si>
    <t>Julio Cesar Nievola</t>
  </si>
  <si>
    <t>IX Encontro Nacional de Inteligência Artificial</t>
  </si>
  <si>
    <t>1043/2012</t>
  </si>
  <si>
    <t>Elenice Cacia Bittencourt Teixeira</t>
  </si>
  <si>
    <t>IV EICCON - Encontro de Iniciação Científica de Ciências Contábeis.</t>
  </si>
  <si>
    <t>1044/2012</t>
  </si>
  <si>
    <t>Luis Alexandre Carta Winter</t>
  </si>
  <si>
    <t>I Congresso Internacional de Direito Econômico, Socioambiental e Democracia: Novas tendências da inclusão digital.</t>
  </si>
  <si>
    <t>1045/2012</t>
  </si>
  <si>
    <t>Carlos Mello Garcias</t>
  </si>
  <si>
    <t>II Seminário Internacional - Sustentabilidade ambiental urbana: Revitalização de rios urbanos.</t>
  </si>
  <si>
    <t>1046/2012</t>
  </si>
  <si>
    <t>Deise Fabiana Ely</t>
  </si>
  <si>
    <t>III Simpósio Paranaense de Estudos Climáticos.</t>
  </si>
  <si>
    <t>1047/2012</t>
  </si>
  <si>
    <t>José Miguel Arias Neto</t>
  </si>
  <si>
    <t xml:space="preserve">XIII Encontro Estadual de História, Londrina - UEL </t>
  </si>
  <si>
    <t>1049/2012</t>
  </si>
  <si>
    <t>Sandra de Cássia Araújo Pelegrini</t>
  </si>
  <si>
    <t>II Congresso Internacional de Museologia: Patrimônios e acervos.</t>
  </si>
  <si>
    <t>1050/2012</t>
  </si>
  <si>
    <t>Eide Sandra Azevedo Abreu</t>
  </si>
  <si>
    <t>X Seminário de Ciências Sociais: Tecendo diálogos sobre a pesquisa social.</t>
  </si>
  <si>
    <t>1051/2012</t>
  </si>
  <si>
    <t>V Simpósio sobre sustentabilidade da pecuária leiteira na Região Sul do Brasil - Sul-Leite.</t>
  </si>
  <si>
    <t>1052/2012</t>
  </si>
  <si>
    <t>II Seminário de Internacionalização das Instituições de Ensino Superior do Estado do Paraná.</t>
  </si>
  <si>
    <t>1053/2011</t>
  </si>
  <si>
    <t>Scheila Mara Maçaneiro</t>
  </si>
  <si>
    <t>Cultural Encounters and Northern Reflections</t>
  </si>
  <si>
    <t>1054/2012</t>
  </si>
  <si>
    <t>Marisa Schneckenberg</t>
  </si>
  <si>
    <t>III Congresso Ibero-Americano de Política e Administração da Educação.</t>
  </si>
  <si>
    <t>1055/2012</t>
  </si>
  <si>
    <t>Solange Irene Smolarek Dias</t>
  </si>
  <si>
    <t>XXIV Congresso Panamericano de Arquitetos</t>
  </si>
  <si>
    <t>1057/2012</t>
  </si>
  <si>
    <t>Christian J. L. Hermes</t>
  </si>
  <si>
    <t>Participação no 23º Simpósio Internacional de Fenômenos de Transporte.</t>
  </si>
  <si>
    <t>1058/2012</t>
  </si>
  <si>
    <t>Luciano Grillo Gil</t>
  </si>
  <si>
    <t>12th International Citrus Congress</t>
  </si>
  <si>
    <t>1059/2012</t>
  </si>
  <si>
    <t>Pedro Antonio Martins Auler</t>
  </si>
  <si>
    <t>Congresso Internacional de Citros 2012</t>
  </si>
  <si>
    <t>1060/2012</t>
  </si>
  <si>
    <t>Neusa Maria Colauto Stenzel</t>
  </si>
  <si>
    <t>1061/2012</t>
  </si>
  <si>
    <t>Zuleide Hissano Tazima</t>
  </si>
  <si>
    <t>1062/2012</t>
  </si>
  <si>
    <t>Marcia Eiko Karino</t>
  </si>
  <si>
    <t>8º Colóquio Bienal Internacional Joanna Briggs</t>
  </si>
  <si>
    <t>1063/2012</t>
  </si>
  <si>
    <t>Sandra Maria Scheffer</t>
  </si>
  <si>
    <t>IUFRO Landscape Ecology Conference</t>
  </si>
  <si>
    <t>1064/2012</t>
  </si>
  <si>
    <t>Edina Schimanski</t>
  </si>
  <si>
    <t>Participação em evento exterior Landscape Ecology Conference.</t>
  </si>
  <si>
    <t>1065/2012</t>
  </si>
  <si>
    <t>Edson Marques Oliveira</t>
  </si>
  <si>
    <t>Apresentação de trabalho em Portugal.</t>
  </si>
  <si>
    <t>1066/2012</t>
  </si>
  <si>
    <t>Remi Schorn</t>
  </si>
  <si>
    <t>IV Congreso Iberoamericano de Filosofia - "Filosofia em diálogo".</t>
  </si>
  <si>
    <t>1067/2012</t>
  </si>
  <si>
    <t>Ester Maria Dreher Heuser</t>
  </si>
  <si>
    <t>1068/2012</t>
  </si>
  <si>
    <t>Rosana Mirales</t>
  </si>
  <si>
    <t>Participação no XIII Encontro de Pesquisadores em Serviço Social (ENPESS).</t>
  </si>
  <si>
    <t>1069/2012</t>
  </si>
  <si>
    <t>Avaliação da atenção básica no tratamento da tuberculose em uma localidade de fronteira internacional.</t>
  </si>
  <si>
    <t>1070/2012</t>
  </si>
  <si>
    <t>Silvana Aparecida de Souza</t>
  </si>
  <si>
    <t>1071/2012</t>
  </si>
  <si>
    <t>VII Congresso da Associação Portuguesa de Literatura Comparada.</t>
  </si>
  <si>
    <t>1072/2012</t>
  </si>
  <si>
    <t>Ana Paula Franco Nobile Brandileone</t>
  </si>
  <si>
    <t>1073/2012</t>
  </si>
  <si>
    <t>Silvia Maria Pereira dos Santos</t>
  </si>
  <si>
    <t>XXVIII Semana da Matemática</t>
  </si>
  <si>
    <t>1074/2012</t>
  </si>
  <si>
    <t>Everton Paulo Roman</t>
  </si>
  <si>
    <t>IX Congreso de la Sociedad Española de Nutricion Comunitaria.</t>
  </si>
  <si>
    <t>1075/2012</t>
  </si>
  <si>
    <t>X CELSUL - Círculo de Estudos Linguísticos do Sul</t>
  </si>
  <si>
    <t>1076/2012</t>
  </si>
  <si>
    <t>4ª SIEPE</t>
  </si>
  <si>
    <t>1077/2012</t>
  </si>
  <si>
    <t>ISPAE</t>
  </si>
  <si>
    <t>André Weizmann</t>
  </si>
  <si>
    <t>7º Encontro de Iniciação Científica e 7ª Mostra de Pós-Graduação.</t>
  </si>
  <si>
    <t xml:space="preserve">  1078/2012</t>
  </si>
  <si>
    <t>Patricia de Oliveira Rosa da Silva</t>
  </si>
  <si>
    <t>I Encontro Anual de Iniciação Científica Júnior da UEL(I EAIC JR/UEL)</t>
  </si>
  <si>
    <t>1079/2012</t>
  </si>
  <si>
    <t>Cezar Karpinski</t>
  </si>
  <si>
    <t>Ciclo de palestras sobre rios, hidrelétricas e povos ribeirinhos da América Latina.</t>
  </si>
  <si>
    <t>1080/2012</t>
  </si>
  <si>
    <t>Helio Sochodolak</t>
  </si>
  <si>
    <t>VIII Semana de História de Irati, I Encontro Regional dos Estudantes de História e Fórum sobre documentação e memória.</t>
  </si>
  <si>
    <t>1081/2012</t>
  </si>
  <si>
    <t>Ana Lúcia Crisostimo</t>
  </si>
  <si>
    <t>1º Congresso do Setor de Ciências Agrárias e Ambientais da UNICENTRO.</t>
  </si>
  <si>
    <t>1082/2012</t>
  </si>
  <si>
    <t>Maria Emilia Marcondes Barbosa</t>
  </si>
  <si>
    <t>XI Semana de Integração de Enfermagem.VI Seminário de Pesquisa e IV Seminário de Extensão: Atualização e cidadania na enfermagem.</t>
  </si>
  <si>
    <t>1083/2012</t>
  </si>
  <si>
    <t>Marciano Adilio Spica</t>
  </si>
  <si>
    <t>XI Semana de Filosofia e II Semana PET Filosofia: A Filosofia entre a pesquisa e a prática.</t>
  </si>
  <si>
    <t>1084/2012</t>
  </si>
  <si>
    <t>Patricia Los Weinert</t>
  </si>
  <si>
    <t>II Encontro de Educação Química da Universidade Estadual de Ponta Grossa - II EduQui- UEPG.</t>
  </si>
  <si>
    <t>1085/2012</t>
  </si>
  <si>
    <t>Atualização teórico-prática em microscopia eletrônica.</t>
  </si>
  <si>
    <t>1086/2012</t>
  </si>
  <si>
    <t>Vladimir Chaves dos Santos</t>
  </si>
  <si>
    <t>II Ciclo de Palestras de Cultura Clássica.</t>
  </si>
  <si>
    <t>1087/2012</t>
  </si>
  <si>
    <t>XX SEMIC.</t>
  </si>
  <si>
    <t>1088/2012</t>
  </si>
  <si>
    <t>Rosana Beatriz Ansai</t>
  </si>
  <si>
    <t>3ª Mostra de Estágio Supervisionado - MESP</t>
  </si>
  <si>
    <t>1089/2012</t>
  </si>
  <si>
    <t>Maria Fernanda de Paula Werner</t>
  </si>
  <si>
    <t>VI Jornada Acadêmica em Farmacologia</t>
  </si>
  <si>
    <t>1090/2012</t>
  </si>
  <si>
    <t>Lorenzo Gustavo Macagno</t>
  </si>
  <si>
    <t>V Desafios da Alteridade.</t>
  </si>
  <si>
    <t>1091/2012</t>
  </si>
  <si>
    <t>Simone Aparecida Rechia</t>
  </si>
  <si>
    <t>Ciclo de debates - Lazer, Esporte e Cidade: O legado social e ambiental dos Jogos Olímpicos.</t>
  </si>
  <si>
    <t>1092/2012</t>
  </si>
  <si>
    <t>V Encontro de Extensão Pesqueira e III Ciclo de Palestras do CDT Iguaçu.</t>
  </si>
  <si>
    <t>1093/2012</t>
  </si>
  <si>
    <t>Fabiano Pavoni Nogueira</t>
  </si>
  <si>
    <t>Feira de Inovação das Ciências e Engenharias - FICIENCIAS.</t>
  </si>
  <si>
    <t>1094/2012</t>
  </si>
  <si>
    <t>Sonia Mara Saldanha Bach</t>
  </si>
  <si>
    <t>Simpósio Científico Franco Brasileiro de Imagens Submarinas.</t>
  </si>
  <si>
    <t>1095/2012</t>
  </si>
  <si>
    <t>Claudine Maria de Bona</t>
  </si>
  <si>
    <t>International Citrus Congress 2012</t>
  </si>
  <si>
    <t>1096/2012</t>
  </si>
  <si>
    <t>Juliano Cordeiro</t>
  </si>
  <si>
    <t>63º Congresso Nacional de Botânica</t>
  </si>
  <si>
    <t>1097/2012</t>
  </si>
  <si>
    <t>Análise da variabilidade climática interanual correlacionada à evoluçãi espaço-temporal da dengue em cidades de clima subtropical úmido.</t>
  </si>
  <si>
    <t>1098/2012</t>
  </si>
  <si>
    <t>Mônica Cristine Fort</t>
  </si>
  <si>
    <t>10º Encontro Nacional de Pesquisadores em Jornalismo.</t>
  </si>
  <si>
    <t>1099/2012</t>
  </si>
  <si>
    <t>6º Seminário de Iniciação Científica</t>
  </si>
  <si>
    <t>cancelado</t>
  </si>
  <si>
    <t>1100/2012</t>
  </si>
  <si>
    <t>Elenita Conegero Pastor Manchope</t>
  </si>
  <si>
    <t>I Seminário de Prática de Ensino dos Cursos de Licenciatura do Cenbtro de Educação, Comunicação e Artes (CECA).</t>
  </si>
  <si>
    <t>1101/2012</t>
  </si>
  <si>
    <t>Sergio Makrakis</t>
  </si>
  <si>
    <t>II International Symposium on Fish Passages in South America: Importance and Assessment.</t>
  </si>
  <si>
    <t>1102/2012</t>
  </si>
  <si>
    <t>Jo Klanovicz</t>
  </si>
  <si>
    <t>Workshop "História Ambiental: Temas, perspectivas, problemas."</t>
  </si>
  <si>
    <t>1103/2012</t>
  </si>
  <si>
    <t>Karla Rosário Brumes</t>
  </si>
  <si>
    <t>Simpósio Paranaense de Pós-Graduação e Pesquisa em Geografia.</t>
  </si>
  <si>
    <t>1104/2012</t>
  </si>
  <si>
    <t>Jorge Juarez Vieira Teixeira</t>
  </si>
  <si>
    <t>Laboratório de Ensino e Pesquisa em Análises Clinicas</t>
  </si>
  <si>
    <t>1105/2012</t>
  </si>
  <si>
    <t>Gilberto Clóvis Antonelli</t>
  </si>
  <si>
    <t>VI SIMEPRO - Simpósio Maringaense de Engenharia de Produção.</t>
  </si>
  <si>
    <t>1106/2012</t>
  </si>
  <si>
    <t>Vagner de Alencar Arnaut de Toledo</t>
  </si>
  <si>
    <t>VI Seminário Paranaense de Meliponicultura.</t>
  </si>
  <si>
    <t>1107/2012</t>
  </si>
  <si>
    <t>João Alencar Pamphile</t>
  </si>
  <si>
    <t>I Simpósio das Américas de Biotecnologia - Pesquisa, Desenvolviemnto &amp; Integração das Américas.</t>
  </si>
  <si>
    <t>1108/2012</t>
  </si>
  <si>
    <t>Simpósio Brasileiro de Microscopia e Microanálise.</t>
  </si>
  <si>
    <t>1109/2012</t>
  </si>
  <si>
    <t>Ryuichi Fukuoka</t>
  </si>
  <si>
    <t>II Escola e Workshop de Teoria de Lie</t>
  </si>
  <si>
    <t>1110/2012</t>
  </si>
  <si>
    <t>Marlene Kempfer</t>
  </si>
  <si>
    <t>IV Seminário Diálogos Filosóficos e Jurídicos sobre a intervenção do Estado no domínio econômico: Ética empresarial à luz do regime econômico constitucional.</t>
  </si>
  <si>
    <t>1111/2012</t>
  </si>
  <si>
    <t>José Carlos Duarte</t>
  </si>
  <si>
    <t>I Simpósio de Integração Universitária à Indústria.</t>
  </si>
  <si>
    <t>1112/2012</t>
  </si>
  <si>
    <t>Maria Fernanda Vilela de Magalhães</t>
  </si>
  <si>
    <t>Seminário Contra-Olhar</t>
  </si>
  <si>
    <t>1114/2012</t>
  </si>
  <si>
    <t>Celso Helbel Junior</t>
  </si>
  <si>
    <t>XXII Congresso Nacional de Irrigação e Drenagem - CONIRD</t>
  </si>
  <si>
    <t>1115/2012</t>
  </si>
  <si>
    <t>Orlando Cezar Fraga</t>
  </si>
  <si>
    <t>1º Simpósio Internacional de Música Nova e Computação Musical da EMBAP.</t>
  </si>
  <si>
    <t>1116/2012</t>
  </si>
  <si>
    <t>Alisson Alipio Cardoso Monteiro</t>
  </si>
  <si>
    <t>VI Simpósio Acadêmico de Violão da EMBAP.</t>
  </si>
  <si>
    <t>1117/2012</t>
  </si>
  <si>
    <t>UTFPR</t>
  </si>
  <si>
    <t>Hieda Maria Pagliosa Corona</t>
  </si>
  <si>
    <t>DESENVOLVIMENTO SOCIOAMBIENTAL E A AGRICULTURA FAMILIAR: DESAFIOS TEÓRICOS E METODOLÓGICOS.</t>
  </si>
  <si>
    <t>1118/2012</t>
  </si>
  <si>
    <t>Márcia Müller</t>
  </si>
  <si>
    <t>TRANSDUTOR A FIBRA ÓTICA PARA A ANÁLISE DE BIODIESEL</t>
  </si>
  <si>
    <t>1119/2012</t>
  </si>
  <si>
    <t>Carla Cristina Amódio Estorilio</t>
  </si>
  <si>
    <t>ADAPTAÇÃO DO CMMI-DEV 1.2 PARA UTILIZAÇÃO EM INDÚSTRIAS DE PRODUTOS TANGÍVEIS E ASSOCIAÇÃO DESTE COM A ISO/TS 16949</t>
  </si>
  <si>
    <t>1120/2012</t>
  </si>
  <si>
    <t>Roger Gules</t>
  </si>
  <si>
    <t>CONTRIBUIÇÃO NO DESENVOLVIMENTO DA TECNOLOGIA DE MÓDULOS INTEGRADOS PARA GERAÇÃO DISTRIBUÍDA DE ENERGIA ELÉTRICA COM A UTILIZAÇÃO DA ENERGIA FOTOVOLTAICA.</t>
  </si>
  <si>
    <t>1121/2012</t>
  </si>
  <si>
    <t>Márcio Mafra</t>
  </si>
  <si>
    <t>TRATAMENTOS DE SUPERFÍCIES DE COMPONENTES MECÂNICOS POR PLASMA: LIMPEZA E TRATAMENTOS TERMOQUÍMICOS</t>
  </si>
  <si>
    <t>1122/2012</t>
  </si>
  <si>
    <t>Alessandro Goedtel</t>
  </si>
  <si>
    <t>ESTIMAÇÃO PARAMÉTRICA EM MÁQUINAS ELÉTRICAS USANDO SISTEMAS INTELIGENTES</t>
  </si>
  <si>
    <t>1123/2012</t>
  </si>
  <si>
    <t>Angela Maria Rubel Fanini</t>
  </si>
  <si>
    <t>A FORMALIZAÇÃO DISCURSIVA DO UNIVERSO DO TRABALHO E DA TECNOLOGIA EM TEXTOS LITERÁRIOS BRASILEIROS</t>
  </si>
  <si>
    <t>1124/2012</t>
  </si>
  <si>
    <t>ICC</t>
  </si>
  <si>
    <t>I Simpósio Internacional de Imunologia</t>
  </si>
  <si>
    <t>1125/2012</t>
  </si>
  <si>
    <t>Michele Fernanda Bortolini</t>
  </si>
  <si>
    <t>1126/2012</t>
  </si>
  <si>
    <t>Isabel Tamara Pedron</t>
  </si>
  <si>
    <t>Participação em evento e apresentação de trabalho: Extremos de séries climatológicas e tempos de retorno no Sul do Brasil.</t>
  </si>
  <si>
    <t>1127/2012</t>
  </si>
  <si>
    <t>Ricardo Celeste</t>
  </si>
  <si>
    <t>Apoio à participação no evento: XXXVIII Congresso de químicos teóricos de expressão.</t>
  </si>
  <si>
    <t>1128/2012</t>
  </si>
  <si>
    <t>Laylla Coelho</t>
  </si>
  <si>
    <t>30º Congresso de Endocrinologia e Metabologia</t>
  </si>
  <si>
    <t>1129/2012</t>
  </si>
  <si>
    <t>Eder Rogerio Stela</t>
  </si>
  <si>
    <t>Programa de Verticalização do Ensino Superior Estadual UENP - UNESPAR - Pró-Equipamentos</t>
  </si>
  <si>
    <t>Ciências Sociais, Humanas e Jurídicas.</t>
  </si>
  <si>
    <t>Programa de Veeticalização do Ensino Superior UNESPAR/FECILCAM.</t>
  </si>
  <si>
    <t>1130/2012</t>
  </si>
  <si>
    <t>Elisabeth Muller Seraphim Prosser</t>
  </si>
  <si>
    <t>Acervo da Música Paranaense - Infraestrutura inicial.</t>
  </si>
  <si>
    <t>1131/2012</t>
  </si>
  <si>
    <t>Tania Terezinha Rissa de Souza</t>
  </si>
  <si>
    <t>Aquisição de computadores para laboratório de Oralidade e Leitura em Língua Estrangeira.</t>
  </si>
  <si>
    <t>1132/2012</t>
  </si>
  <si>
    <t>Dulcinéia Galliano Pizza</t>
  </si>
  <si>
    <t>Acervo UNESPAR-FAP 2012</t>
  </si>
  <si>
    <t>1133/2012</t>
  </si>
  <si>
    <t>Solange Santos</t>
  </si>
  <si>
    <t>Ampliação do acervo bibliográfico das unidades de ensino e pesquisa da Faculdade Estadual de Filosofia, Ciências e Letras de Paranaguá.</t>
  </si>
  <si>
    <t>1134/2012</t>
  </si>
  <si>
    <t>Shalimar Calegari Zanatta</t>
  </si>
  <si>
    <t>Aplicações do espectrofotômetro vis/uv como técnica de resistência para fortalecimento da pesquisa na Região Norte do Paraná - Grupo Nupara.</t>
  </si>
  <si>
    <t>1135/2012</t>
  </si>
  <si>
    <t>Ações conjuntas das áreas de Química e Biologia na UNESPAR, Campus FSFIUV, em prol da melhoria da infraestrutura laboratorial.</t>
  </si>
  <si>
    <t>1136/2012</t>
  </si>
  <si>
    <t>UENP - CLM</t>
  </si>
  <si>
    <t>Sandremir de Carvalho</t>
  </si>
  <si>
    <t>Aquisição de equipamentos para o laboratório de Biotecnologia da UENP-CLM.</t>
  </si>
  <si>
    <t>1137/2012</t>
  </si>
  <si>
    <t>Luciane Holsback Silveira Fertonani</t>
  </si>
  <si>
    <t>Estruturação do laboratório de imunodiagnóstico na UENP.</t>
  </si>
  <si>
    <t>1138/2012</t>
  </si>
  <si>
    <t>Fabiano Gonçalves Costa</t>
  </si>
  <si>
    <t>Consolidação do laboratório de microscopia do NUPEM.Campus Luiz Meneghel - Módulo I</t>
  </si>
  <si>
    <t>1139/2012</t>
  </si>
  <si>
    <t>UENP - CJ</t>
  </si>
  <si>
    <t>Fabio Antonio Neia Martini</t>
  </si>
  <si>
    <t>Plataforma de força, análise do equilíbrio, salto e marcha.</t>
  </si>
  <si>
    <t>1140/2012</t>
  </si>
  <si>
    <t>UENP Reitoria</t>
  </si>
  <si>
    <t>Claudinei Ferreira dos Santos</t>
  </si>
  <si>
    <t>Aprimoramento do laboratório multiusuário CCS/UENP.</t>
  </si>
  <si>
    <t>1141/2012</t>
  </si>
  <si>
    <t>Cristina Batista de Lima</t>
  </si>
  <si>
    <t>Reestruturação do laboratório de análise de sementes da UENP - CLM.</t>
  </si>
  <si>
    <t>1142/2012</t>
  </si>
  <si>
    <t>Cristiano Massao Tashima</t>
  </si>
  <si>
    <t>Implementação de biotério multiusuário de manutenção e experimentação animal na Universidade Estadual do Norte do Paraná - Campus Luiz Meneghel.</t>
  </si>
  <si>
    <t>1143/2012</t>
  </si>
  <si>
    <t>Cristiano Medri</t>
  </si>
  <si>
    <t>Aquisição de equipamentos para apoio à pesquisa em biologia molecular e agrobiotecnologia na UENP.</t>
  </si>
  <si>
    <t>1144/2012</t>
  </si>
  <si>
    <t>Cooperação bilateral como fator de incremento à área de equações diferenciais parciais do Programa de Pós-Graduação em Matemática da UEM.</t>
  </si>
  <si>
    <t>1145/2012</t>
  </si>
  <si>
    <t>Visita técnica ao CIRMAP, University of Mons, Bélgica.</t>
  </si>
  <si>
    <t>1146/2012</t>
  </si>
  <si>
    <t>Alvaro Henrique Borges</t>
  </si>
  <si>
    <t>Atualização funcional do estúdio de música da Faculdade de Artes do Paraná - FAP.</t>
  </si>
  <si>
    <t>1147/2012</t>
  </si>
  <si>
    <t>Programas Pró-Equipamentos 06/2012 CAPES</t>
  </si>
  <si>
    <t>Estruturação do núcleo de apoio a Pesquisa em Produção Agropecuário Sustentável.</t>
  </si>
  <si>
    <t>1149/2012</t>
  </si>
  <si>
    <t>Sérgio Scheer</t>
  </si>
  <si>
    <t>Equipamentos multiusuários em laboratórios vinculados aos Programas de Pós-Graduação da UFPR.</t>
  </si>
  <si>
    <t>1150/2012</t>
  </si>
  <si>
    <t>Auxilio complementar para o fortalecimento da infraestrutura de pesquisa dos programas de pós-graduação da UNICENTRO.</t>
  </si>
  <si>
    <t>1151/2012</t>
  </si>
  <si>
    <t>Estruturação e fortalecimento, consolidação e modernização dos Programas de Pós-Graduação Stricto Sensu da UNIOESTE - Fase II.</t>
  </si>
  <si>
    <t>1152/2012</t>
  </si>
  <si>
    <t>Readequação da rede elétrica e sistema de proteção contra descargas elétricas atmosféricas do C-Labmu.</t>
  </si>
  <si>
    <t>1153/2012</t>
  </si>
  <si>
    <t>UTFPR-PR</t>
  </si>
  <si>
    <t>Oséias Santos de Oliveira</t>
  </si>
  <si>
    <t>I Simpósio Internacional sobre desenvolvimento profissional docente - Colóquios.</t>
  </si>
  <si>
    <t>1154/2012</t>
  </si>
  <si>
    <t>Carlos Alberto Scapim</t>
  </si>
  <si>
    <t>Programa complementar Pró-Equipamentos.</t>
  </si>
  <si>
    <t>1155/2012</t>
  </si>
  <si>
    <t>12-2012 Inclusão Social</t>
  </si>
  <si>
    <t>Programa de apoio a inclusão social - Pesquisa e extensão universitária.</t>
  </si>
  <si>
    <t>1156//2012</t>
  </si>
  <si>
    <t>Inclusão Social para fortalecimento de formação e geração de conhecimento.</t>
  </si>
  <si>
    <t>1157/2012</t>
  </si>
  <si>
    <t>Programa de apoio as ações afirmativas para inclusão social em atividades de pesquisa e extensão universitária na UNIOESTE.</t>
  </si>
  <si>
    <t>1158/2012</t>
  </si>
  <si>
    <t>Programa de apoio as ações afirmativas para inclusão social em atividades de pesquisa e extensão na UFPR 2012 (AA-UFPR).</t>
  </si>
  <si>
    <t>1159/2012</t>
  </si>
  <si>
    <t>Inclusão Social UEL 2012</t>
  </si>
  <si>
    <t>1160/2012</t>
  </si>
  <si>
    <t>Gisele Alves de Sá Quimelli</t>
  </si>
  <si>
    <t>Programa de apoio à Inclusão Social - Pesquisa e Extensão Universitária.</t>
  </si>
  <si>
    <t>1161/2012</t>
  </si>
  <si>
    <t>Jane Maria Remor</t>
  </si>
  <si>
    <t>Programa de apoio à Inclusão Social em Atividades de Pesquisa e Extensão da UEM - 2012-13.</t>
  </si>
  <si>
    <t>1162/2012</t>
  </si>
  <si>
    <t>Damares T. Bianzin</t>
  </si>
  <si>
    <t>Programas Pró-Equipamentos Estadual 11/2012</t>
  </si>
  <si>
    <t>Ação de Pesquisa Interdisciplinar</t>
  </si>
  <si>
    <t>1163/2012</t>
  </si>
  <si>
    <t>Atualização da infraestrutura de pesquisa da PUCPR para a caracterização de tecidos biológicos e biomateriais.</t>
  </si>
  <si>
    <t>1164/2012</t>
  </si>
  <si>
    <t>Sonia Parolin</t>
  </si>
  <si>
    <t>Implantação de um processo de tratamento de resíduos de restaurante industrial para obtenção de metano a partir de um biodigestor com pós-tratamento por zona de raízes.</t>
  </si>
  <si>
    <t>1165/2012</t>
  </si>
  <si>
    <t>Implantação do núcleo de laboratórios de estudos interdisciplinares em meio ambiente da UNILA.</t>
  </si>
  <si>
    <t>1166/2012</t>
  </si>
  <si>
    <t>Vanio da Maia</t>
  </si>
  <si>
    <t>Controle preditivo e análise por meio de elementos finitos de turbinas eólicas.</t>
  </si>
  <si>
    <t>1167/2012</t>
  </si>
  <si>
    <t>Carlos José de Mesquita Siqueira</t>
  </si>
  <si>
    <t>IV Seminário Internacional e V Assembléia Geral do Grupo Coimbra de Universidades Brasileiras.</t>
  </si>
  <si>
    <t>1168/2012</t>
  </si>
  <si>
    <t>Fabiola de Souza Castelo Cordovil</t>
  </si>
  <si>
    <t>Construir e administrar: técnica e política na construção de Maringá, 1983 a 1992</t>
  </si>
  <si>
    <t>1169/2012</t>
  </si>
  <si>
    <t>Catarina Aparecida Sales</t>
  </si>
  <si>
    <t>Os cuidados paliativos nas ações básicas de saúde promovendo melhor qualidade de vida ao doente com neoplasia maligna e seus familiares.</t>
  </si>
  <si>
    <t>1170/2012</t>
  </si>
  <si>
    <t>UENP CCHE/CLCA</t>
  </si>
  <si>
    <t>Marcio Luiz Carreri</t>
  </si>
  <si>
    <t>Verticalização do Ensino Superior Estadual - UENP-UNESPAR Mod. C - Bolsa Auxilio</t>
  </si>
  <si>
    <t>Oswald de Andrade e o PCB: Estudos sobre o intelectual, a instituição e as redes de sociabilidade na década de 1930.</t>
  </si>
  <si>
    <t>1171/2012</t>
  </si>
  <si>
    <t>Sandra Regina dos Reis Rampazzo</t>
  </si>
  <si>
    <t>Um estudo sobre a avaliação da aprendizagem nos cursos de formação de professores da UAB-Paraná.</t>
  </si>
  <si>
    <t>1172/2012</t>
  </si>
  <si>
    <t>Coaracy Eleutério da Luz</t>
  </si>
  <si>
    <t>Paisagem natural e cultural de São Jerônimo da Serra (PR) e Nova Santa Bárbara (PR): Na busca de compreender seu potencial turístico.</t>
  </si>
  <si>
    <t>1173/2012</t>
  </si>
  <si>
    <t>Emiliana Crsitina Melo</t>
  </si>
  <si>
    <t>Influência de fatores socioeconômicos e assistenciais na ocorrência do nascimento pré-termo e do baixo peso ao nascer.</t>
  </si>
  <si>
    <t>1174/2012</t>
  </si>
  <si>
    <t>Wagner Tadeu Sorace Miranda</t>
  </si>
  <si>
    <t>Cidadania e inclusão no ensino superior: Das políticas aos programas de atendimento e apoio às pessoas com necessidades educacionais especiais no ensino superior.</t>
  </si>
  <si>
    <t>1175/2012</t>
  </si>
  <si>
    <t>Luiz Antonio de Oliveira</t>
  </si>
  <si>
    <t>A representação do fenômeno educacional na Primeira República - Identificação de suas matrizes nas contribuições de Primitivo Moacyr.</t>
  </si>
  <si>
    <t>1176/2012</t>
  </si>
  <si>
    <t>João Vicente Hadich Ferreira</t>
  </si>
  <si>
    <t>Paulo Freire e Adorno: Confluências e contribuições para uma práxis pedagógica emancipadora e libertadora.</t>
  </si>
  <si>
    <t>1177/2012</t>
  </si>
  <si>
    <t>Jonis Jecks Nervis</t>
  </si>
  <si>
    <t>Planejamento otimizado da colheita da cana-de-açucar e aproveitamento da biomassa.</t>
  </si>
  <si>
    <t>1178/2012</t>
  </si>
  <si>
    <t>Carla Cristiani da Silva</t>
  </si>
  <si>
    <t>Efeito de 12 semanas de treinamento aeróbio sobre a modulação autonômica em pré-púberes: Ensaios clínicos aleatórios.</t>
  </si>
  <si>
    <t>1179/2012</t>
  </si>
  <si>
    <t>Maria Antonia Pedrine Colabone Cellgoi</t>
  </si>
  <si>
    <t>Infra-Estrutura para a central multiusuária de laboratórios de pesquisa da UEL (CMLP).</t>
  </si>
  <si>
    <t>1180/2012</t>
  </si>
  <si>
    <t>Francisco de Assis Gaspar Neto</t>
  </si>
  <si>
    <t>O Gestus (Lido à partir da pré-individualidade de Gilbert Simondon).</t>
  </si>
  <si>
    <t>1181/2012</t>
  </si>
  <si>
    <t>Everton José Goldoni Estevam</t>
  </si>
  <si>
    <t>Doutorado: Probabilidade e estatística na educação básica e na formação de professores de matemática: A aprendizagem situada em comunidades de prática como possibilidade formativa.</t>
  </si>
  <si>
    <t>1182/2012</t>
  </si>
  <si>
    <t>Jamil Mamedio Bark</t>
  </si>
  <si>
    <t>Alceo Bocchino: Variações para fagote e orchestra - Estudo analítico e interpretativo.</t>
  </si>
  <si>
    <t>1183/2012</t>
  </si>
  <si>
    <t>Daniel Annoni Binotto</t>
  </si>
  <si>
    <t>Ponte internacional da Amizade: História de uma modernidade.</t>
  </si>
  <si>
    <t>1184/2012</t>
  </si>
  <si>
    <t>Irene Maria Brzezinski Dianin</t>
  </si>
  <si>
    <t>Entre a lucidez e a loucura: O suicidio em alguns dos municípios do Vale do Rio Pardo/RS.</t>
  </si>
  <si>
    <t>1185/2012</t>
  </si>
  <si>
    <t xml:space="preserve">Marcio Pascoal Cassandre </t>
  </si>
  <si>
    <t>Auxílio deslocamento para cumprimento compulsório de permanência em programa de doutorado.</t>
  </si>
  <si>
    <t>1186/2012</t>
  </si>
  <si>
    <t>Sérgio Carrazedo Dantas</t>
  </si>
  <si>
    <t>Design, implementação e estudo de uma rede sócio profissional online de professores de matemática.</t>
  </si>
  <si>
    <t>1187/2012</t>
  </si>
  <si>
    <t>Roseneide M. Batista Cirino</t>
  </si>
  <si>
    <t>Saberes e práticas de professores no contexto inclusão de alunos com deficiência.</t>
  </si>
  <si>
    <t>1188/2012</t>
  </si>
  <si>
    <t>Maria Antonia Ramos Costa</t>
  </si>
  <si>
    <t>Educação permanente: Possibilidades de sua inserção para melhoria da qualidade e da gestão do cuidado no ambiente hospitalar.</t>
  </si>
  <si>
    <t>1189/2012</t>
  </si>
  <si>
    <t>Valter Soares de Camargo</t>
  </si>
  <si>
    <t>Doutoramento: Álgebra geométrica e otimização de geometria molecular.</t>
  </si>
  <si>
    <t>1190/2012</t>
  </si>
  <si>
    <t>Programa de Verticalização do Ensino Superior Estadual UENP - UNESPAR - Pesquisa Básica e Aplicada</t>
  </si>
  <si>
    <t>Estratégias avançadas para a identificação e quatificação de fármacos em matrizes ambientais contaminadas.</t>
  </si>
  <si>
    <t>1191/2012</t>
  </si>
  <si>
    <t>Lucila Nagashima</t>
  </si>
  <si>
    <t>Determinação das características físico-químicas e sensorial do mel produzido e comercializado na região Noroeste do Paraná.</t>
  </si>
  <si>
    <t>1192/2012</t>
  </si>
  <si>
    <t>UTFPR Toledo</t>
  </si>
  <si>
    <t>Cristiano Poleto</t>
  </si>
  <si>
    <t>X Encontro Nacional de Engenharia de Sedimentos.</t>
  </si>
  <si>
    <t>1193/2012</t>
  </si>
  <si>
    <t>UTFPR Apucarana</t>
  </si>
  <si>
    <t>Yslene Rocha Kachba</t>
  </si>
  <si>
    <t>I Simpósio Paranaense de Engenharia Têxtil (SIPET)</t>
  </si>
  <si>
    <t>1194/2012</t>
  </si>
  <si>
    <t>UTFPR CP</t>
  </si>
  <si>
    <t>Romeu Rony Cavalcante da Costa</t>
  </si>
  <si>
    <t>I Simpósio Paranaense de Engenharia Mecânica - I SIPEM</t>
  </si>
  <si>
    <t>1195/2012</t>
  </si>
  <si>
    <t>Sergio Roberto Molletta</t>
  </si>
  <si>
    <t>I Congresso Internacional de Gestão e Marketing do Esporte.</t>
  </si>
  <si>
    <t>1196/2012</t>
  </si>
  <si>
    <t>Investigação das transformações em óxidos de ferro devido a queimadas na região norte/noroeste do Paraná e a correlação com a aplicação de herbicidas.</t>
  </si>
  <si>
    <t>1197/2012</t>
  </si>
  <si>
    <t>Vanessa Ishikawa Rasoto</t>
  </si>
  <si>
    <t>TMS - Management Studies International Conference - Algarve 2012.</t>
  </si>
  <si>
    <t>1198/2012</t>
  </si>
  <si>
    <t>Fabiano Scriptore de Carvalho</t>
  </si>
  <si>
    <t>Management Studies International Conference - Algarve 2012.</t>
  </si>
  <si>
    <t>1199/2012</t>
  </si>
  <si>
    <t>Isaura Alberton de Lima</t>
  </si>
  <si>
    <t>1200/2012</t>
  </si>
  <si>
    <t>Armando Rasoto</t>
  </si>
  <si>
    <t>1201/2012</t>
  </si>
  <si>
    <t>Mauricio Cesar Menon</t>
  </si>
  <si>
    <t>Congresso internacional comemorativo dos 25 anos da APLC.</t>
  </si>
  <si>
    <t>1202/2012</t>
  </si>
  <si>
    <t>Apresentação artigo (Full paper) em conferência internacional da GENSIPS 12) - IEEE - International Workshop on Genomic signal processing and statistics.</t>
  </si>
  <si>
    <t>1204/2012</t>
  </si>
  <si>
    <t>Cleonice Mendonça Pirolla</t>
  </si>
  <si>
    <t>1205/2012</t>
  </si>
  <si>
    <t>Fernando Kuss</t>
  </si>
  <si>
    <t>II Ciclo de tardes de Campo em pequenas propriedades leiteiras no Sudoeste do Paraná.</t>
  </si>
  <si>
    <t>1206/2012</t>
  </si>
  <si>
    <t>Aquisição de equipamentos e acessórios complementares a atualização e expansão das atividades de pesquisa dos Programas de Pós-Graduação dos Câmpus de Curitiba (CPGEI e PPGEM), de Pato Branco (PPGA, PPGEE, PPGDR, PPGDR, PPGPQB) e Ponta Grossa (PPGEE).</t>
  </si>
  <si>
    <t>1207/2012</t>
  </si>
  <si>
    <t>Carlos Cziulik</t>
  </si>
  <si>
    <t>Programa de apoio a inclusão social - Pesquisa e extensão universitária da UTFPR - 2012.</t>
  </si>
  <si>
    <t>1208/2012</t>
  </si>
  <si>
    <t>A representação da violência na literatura brasileira contemporânea.</t>
  </si>
  <si>
    <t>1209/2012</t>
  </si>
  <si>
    <t>Modernização de plataformas multiusuários na área de Biologia Celular e Genômica Estrutural e Funcional de Patógenos.</t>
  </si>
  <si>
    <t>1210/2012</t>
  </si>
  <si>
    <t>Relações entre as universidades públicas estaduais e o desenvolvimento regional no Estado do Paraná Universidade Estadual do Centro Oeste do Paraná.</t>
  </si>
  <si>
    <t>1211/2012</t>
  </si>
  <si>
    <t>Hermes Yukio Higachi</t>
  </si>
  <si>
    <t>Relações entre as universidades públicas estaduais e o desenvolvimento regional no Estado do Paraná Universidade Estadual de Ponta Grossa.</t>
  </si>
  <si>
    <t>1212/2012</t>
  </si>
  <si>
    <t>Mirian Braun</t>
  </si>
  <si>
    <t>Relações entre as universidades públicas estaduais e o desenvolvimento regional no Estado do Paraná.</t>
  </si>
  <si>
    <t>1213/2012</t>
  </si>
  <si>
    <t>Alexandre Florindo Alves</t>
  </si>
  <si>
    <t>Relações entre as universidades públicas estaduais e o desenvolvimento regional no Estado do Paraná Universidade Estadual de Maringá.</t>
  </si>
  <si>
    <t>1214/2012</t>
  </si>
  <si>
    <t>Marcia Regina Gabardo da Camara</t>
  </si>
  <si>
    <t>Relações entre as universidades públicas estaduais e o desenvolvimento regional no Estado do Paraná Universidade Estadual de Londrina.</t>
  </si>
  <si>
    <t>1215/2012</t>
  </si>
  <si>
    <t>Eder Soares Santos</t>
  </si>
  <si>
    <t>Solicitação de apoio a vinda de professor visitante.</t>
  </si>
  <si>
    <t>1216/2012</t>
  </si>
  <si>
    <t>APREPRO</t>
  </si>
  <si>
    <t>João Luiz Kovaleski</t>
  </si>
  <si>
    <t>II Congresso Brasileiro de Engenharia de Produção - CONBREPRO 2012 - Gestão do Conhecimento nas Engenharias.</t>
  </si>
  <si>
    <t>1217/2012</t>
  </si>
  <si>
    <t>Edcleia Aparecida Basso</t>
  </si>
  <si>
    <t>A pesquisa interdisciplinar como base para as condições para o letramento e numeramento de alunos da educação básica da rede pública.</t>
  </si>
  <si>
    <t>1218/2012</t>
  </si>
  <si>
    <t>Inventário do acervo histórico da faculdade de Artes di Paraná: A academia de música do Paraná (1931-1966) conservatório estadual de Canto Orfeônico do Paraná (1956-1966) e a Faculdade de Educação Musical do Paraná (1967-1991).</t>
  </si>
  <si>
    <t>1219/2012</t>
  </si>
  <si>
    <t>Relações de gênero e ensino de História: Representações da mulher no jornal Folha do Norte do Paraná (1971/1974)</t>
  </si>
  <si>
    <t>1220/2012</t>
  </si>
  <si>
    <t>Thiago Alves Valente</t>
  </si>
  <si>
    <t>A leitura e os jovens leitores: Práticas de letramento do Norte Pioneiro- PR.</t>
  </si>
  <si>
    <t>1221/2012</t>
  </si>
  <si>
    <t>Frank Antonio Mezzomo</t>
  </si>
  <si>
    <t>Perfil de jovens universitários no Estado do Paraná: Ações e representações sobre religião e política.</t>
  </si>
  <si>
    <t>1222/2012</t>
  </si>
  <si>
    <t>Associação entre ambiente obesogênico e síndrome metabólica em adolescente.</t>
  </si>
  <si>
    <t>1223/2012</t>
  </si>
  <si>
    <t>Antonio Stabelini Neto</t>
  </si>
  <si>
    <t>Efeitos de um programa de intervenção focado na atividade física sobre os fatores de risco metabólicos em crianças obesas.</t>
  </si>
  <si>
    <t>1224/2012</t>
  </si>
  <si>
    <t>Rui Gonçalves Marques Elias</t>
  </si>
  <si>
    <t>Efeito do treinamento físico sobre a obesidade, inflamação e risco cardiovascular em adultos.</t>
  </si>
  <si>
    <t>1225/2012</t>
  </si>
  <si>
    <t>Mônica Luiza Socio Fernandes</t>
  </si>
  <si>
    <t>O resgate de um olhar poético sobre o espaço: Quintana e a cidade de Porto Alegre.</t>
  </si>
  <si>
    <t>1226/2012</t>
  </si>
  <si>
    <t>Maria Justino</t>
  </si>
  <si>
    <t>Narrativas na arte contemporânea: Poty, Leonilson e Paula Rego.</t>
  </si>
  <si>
    <t>1227/2012</t>
  </si>
  <si>
    <t>Cinema e pintura: Produção de conhecimento interdisciplinar artístico em high definition.</t>
  </si>
  <si>
    <t>1228/2012</t>
  </si>
  <si>
    <t>Ricardo Aparecido Campos</t>
  </si>
  <si>
    <t>Estudos ambientais no espaço geográfico da baciahidrográfica do Córrego do Veado, no Município de Cornélio Procópio - PR.</t>
  </si>
  <si>
    <t>1229/2012</t>
  </si>
  <si>
    <t>Silvia Alves dos Santos</t>
  </si>
  <si>
    <t>Trabalho docente na Universidade pública: Entre processos de precarização e resistência.</t>
  </si>
  <si>
    <t>1230/2012</t>
  </si>
  <si>
    <t>Celina Midori Murasse Mizuta</t>
  </si>
  <si>
    <t>A ação político-educativa da imprensa paranaense: O jornal O Dezenove de Dezembro (1854-1890).</t>
  </si>
  <si>
    <t>1231/2012</t>
  </si>
  <si>
    <t>Marcos Clair Bovo</t>
  </si>
  <si>
    <t>Áreas verdes urbanas como geradoras de qualidade de vida e ambiental: Propostas de intervenção e análise nos municípios da Mesorregião Centro-Ocidental Paranaense (PR).</t>
  </si>
  <si>
    <t>1232/2012</t>
  </si>
  <si>
    <t>Revolução Francesa: Interpretações históricas através da iconografia.</t>
  </si>
  <si>
    <t>1233/2012</t>
  </si>
  <si>
    <t>Edmundo Mercer: Um sertanista paranaense em Campo Mourão (1910-1930).</t>
  </si>
  <si>
    <t>1234/2012</t>
  </si>
  <si>
    <t>Centro de memória do Litoral do Paraná : A preservação do patrimônio  material e imaterial da cultura litorânea paranaense.</t>
  </si>
  <si>
    <t>1235/2012</t>
  </si>
  <si>
    <t>Análise genética, fator de condição e idade de Prochilodus lineatus (Valenciennes, 1836) coletados na represa de Capivara (Rio Paranapanema)e no rio Laranjinha).</t>
  </si>
  <si>
    <t>1236/2012</t>
  </si>
  <si>
    <t>Cassiana Baptista Metri</t>
  </si>
  <si>
    <t>Diversidade da carcinofauna bêntica da Baia de Paranaguá, Paraná.</t>
  </si>
  <si>
    <t>1237/2012</t>
  </si>
  <si>
    <t>Teresinha Esteves da Silveira Reis</t>
  </si>
  <si>
    <t>Diagnóstico ambiental da matriz da bacia do baixo Rio das Cinzas e avaliação ecológica rapida (AER) dos fragmentos florestais.</t>
  </si>
  <si>
    <t>1238/2012</t>
  </si>
  <si>
    <t>Marcia Regina Royer</t>
  </si>
  <si>
    <t>Levantamento etnobotânico, plantio e caracterização de plantas medicinais em Paranavaí-PR.</t>
  </si>
  <si>
    <t>1239/2012</t>
  </si>
  <si>
    <t>Rogério Antonio Krupek</t>
  </si>
  <si>
    <t>Efeito do desnível topográfico sobre a distribuição espacial de macroalgas bentônicas de ambientes lóticos.</t>
  </si>
  <si>
    <t>1240/2012</t>
  </si>
  <si>
    <t>Marilene Mieko Yamamoto Pires</t>
  </si>
  <si>
    <t>Revitalização do Jardim Botânico da UNESPAR/Campus de Paranavaí.</t>
  </si>
  <si>
    <t>1241/2012</t>
  </si>
  <si>
    <t>João Paulo Ferreira Schoffen</t>
  </si>
  <si>
    <t>Restrição alimentar em ratos durante o processo de envelhecimento: Efeitos sobre a inervação intrinseca e a parede dos intestinos delgado e grosso.</t>
  </si>
  <si>
    <t>1242/2012</t>
  </si>
  <si>
    <t>Manguezais: Integrando dados multidisciplinares para avaliar o impacto antrópico.</t>
  </si>
  <si>
    <t>1243/2012</t>
  </si>
  <si>
    <t>Fabricia de Souza Predes</t>
  </si>
  <si>
    <t>Efeito da infusão de Heteropterys tomentosa no Epididimo de ratos Wistar durante o envelhecimento.</t>
  </si>
  <si>
    <t>1244/2012</t>
  </si>
  <si>
    <t>Subsídios à produção de mudas de espécies nativas, presentes no componente arbóreo do remanescente florestal na microbacia da Água do Caixão, Bandeirantes - PR.</t>
  </si>
  <si>
    <t>1245/2012</t>
  </si>
  <si>
    <t>Marco  Antonio Gandolfo</t>
  </si>
  <si>
    <t>Uso de adjuvantes de calda como redutores de contaminação por agrotóxicos.</t>
  </si>
  <si>
    <t>1246/2012</t>
  </si>
  <si>
    <t>Eficiência de isolados de nematóides entomopatogênicos (Rhabdita: Steinermatidae e heterorhabditidae) no controle biológico de agrotis ipsilon.</t>
  </si>
  <si>
    <t>1247/2012</t>
  </si>
  <si>
    <t>Janete Leige Lopes</t>
  </si>
  <si>
    <t>Região UNESPAR: Um mapa da inserção no mercado de trabalho a partir da relação com o nível de escolaridade e a renda.</t>
  </si>
  <si>
    <t>1248/2012</t>
  </si>
  <si>
    <t>Paulo Rogério Alves Brene</t>
  </si>
  <si>
    <t>Matriz Insumo-Produto como Ferramenta propositiva de políticas públicas e estratégias para o desenvolvimento local/municipal.</t>
  </si>
  <si>
    <t>1249/2012</t>
  </si>
  <si>
    <t>Silvio Cesar Sampaio</t>
  </si>
  <si>
    <t>Inserção internacional dos programas conceito 4 da Unioeste.</t>
  </si>
  <si>
    <t>1250/2012</t>
  </si>
  <si>
    <t>Missão técnica Alemanha e França para interação e disseminação científica e tecnológica.</t>
  </si>
  <si>
    <t>1251/2012</t>
  </si>
  <si>
    <t>Mauro Parolin</t>
  </si>
  <si>
    <t>Evolução paleoambiental e paleoclimática da região de Campo Mourão com base na recuperação de fitólitos, determinação &amp;13C, razão C/N e fontes históricas.</t>
  </si>
  <si>
    <t>1252/2012</t>
  </si>
  <si>
    <t>ASSESPRO</t>
  </si>
  <si>
    <t xml:space="preserve">Daniella Bruch Wodonis Teixeira </t>
  </si>
  <si>
    <t>Paraná TIC - Tecnologia da Informação e Comunicação)</t>
  </si>
  <si>
    <t>1253/2012</t>
  </si>
  <si>
    <t>Claudio José de Almeida Mello</t>
  </si>
  <si>
    <t>13-2012 Bolsa Técnico</t>
  </si>
  <si>
    <t>Apoio técnico para laboratórios de Pesquisa Multiusuários dos Programas de Pós-Graduação da UNICENTRO.</t>
  </si>
  <si>
    <t>1254/2012</t>
  </si>
  <si>
    <t>Bolsa Técnico na UTFPR.</t>
  </si>
  <si>
    <t>1255/2012</t>
  </si>
  <si>
    <t>Bolsa técnico na PUC.</t>
  </si>
  <si>
    <t>1256/2012</t>
  </si>
  <si>
    <t>Viabilização de profissionais técnico-laboratoriais, através do Programa de Bolsas Técnico, para laboratórios de apoio a programas de pós-graduação Stricto Sensu da UENP.</t>
  </si>
  <si>
    <t>1257/2012</t>
  </si>
  <si>
    <t>Bolsas de Apoio Técnico UEL 2012</t>
  </si>
  <si>
    <t>1258/2012</t>
  </si>
  <si>
    <t>Dhalton Shiguer Ito</t>
  </si>
  <si>
    <t>Bolsa Técnico - IAPAR 2012</t>
  </si>
  <si>
    <t>1259/2012</t>
  </si>
  <si>
    <t>Bolsa Técnico - Apoio a pesquisa institucional na UFPR.</t>
  </si>
  <si>
    <t>1260/2012</t>
  </si>
  <si>
    <t>Laboratórios multiusuários da UEPG</t>
  </si>
  <si>
    <t>1261/2012</t>
  </si>
  <si>
    <t>Programa de apoio aos laboratórios multiusuários da UNIOESTE - Fase1</t>
  </si>
  <si>
    <t>1262/2012</t>
  </si>
  <si>
    <t>Gisella Maria Zanin</t>
  </si>
  <si>
    <t>Bolsa técnico para atendimento ao complexo de centrais analíticas (COMCAP) da UEM.</t>
  </si>
  <si>
    <t>1263/2012</t>
  </si>
  <si>
    <t>Apoio aos Mestrados Profissionais da UTFPR</t>
  </si>
  <si>
    <t>1264/2012</t>
  </si>
  <si>
    <t>Saulo Pomponet Oliveira</t>
  </si>
  <si>
    <t>Programa de verão em Matemática da UFPR</t>
  </si>
  <si>
    <t>1265/2012</t>
  </si>
  <si>
    <t>Mauricio Romero Gorenstein</t>
  </si>
  <si>
    <t>III Semana Acadêmica de Engenharia Florestal</t>
  </si>
  <si>
    <t>1266/2012</t>
  </si>
  <si>
    <t>Naresh Kumar Sharma</t>
  </si>
  <si>
    <t>III Programa de Verão - Matemática 2013</t>
  </si>
  <si>
    <t>1267/2012</t>
  </si>
  <si>
    <t>Cristian Andres Ortiz Gonzalez</t>
  </si>
  <si>
    <t>CIMPA-UNESCO-MESR-MINECO-BRAZIL Research School on Algebraic and Geometric Aspects of Representation Theory.</t>
  </si>
  <si>
    <t>1268/2012</t>
  </si>
  <si>
    <t>Curso de cultura de células como modelo de estudo em biociências.</t>
  </si>
  <si>
    <t>1269/2012</t>
  </si>
  <si>
    <t>Gisele Miyoko Onuki</t>
  </si>
  <si>
    <t>I Seminário de Extensão e Cultura da FAP.</t>
  </si>
  <si>
    <t>1270/2012</t>
  </si>
  <si>
    <t>Paula Melani Rocha</t>
  </si>
  <si>
    <t>II Colóquio Mulher e Sociedade.Questões de gênero: Intersecção entre Estado e Sociedade Civil.</t>
  </si>
  <si>
    <t>1271/2012</t>
  </si>
  <si>
    <t>Renato Freitas</t>
  </si>
  <si>
    <t>Atualização em cirurgia craniofacial</t>
  </si>
  <si>
    <t>1272/2012</t>
  </si>
  <si>
    <t>Graziela Scalianti Ceravolo</t>
  </si>
  <si>
    <t>Ciclo de atualizações em Farmacologia</t>
  </si>
  <si>
    <t>1273/2012</t>
  </si>
  <si>
    <t>Estudos moleculares dos mecanismos de regulação gênica pós-transcricional da autorrenovação e diferenciação de células-tronco adultase pluripotentes induzidas.</t>
  </si>
  <si>
    <t>1274/2012</t>
  </si>
  <si>
    <t>Consolidação do Centro de Coleções de Culturas Biológicas do Estado do Paraná - Taxon Line - Rede Paranaense de Coleções Biológicas.</t>
  </si>
  <si>
    <t>1275/2012</t>
  </si>
  <si>
    <t>Eva R. A. Fernandes</t>
  </si>
  <si>
    <t>COLABORA: Plataforma WEB 2.0 para Projetos Colaborativos.</t>
  </si>
  <si>
    <t>1276/2012</t>
  </si>
  <si>
    <t>Implantação do laboratório multiusuário de Patologia Molecular dos Cursos da Área Saúde da UNIOESTE.</t>
  </si>
  <si>
    <t>1277/2012</t>
  </si>
  <si>
    <t>João Basilio Pereima</t>
  </si>
  <si>
    <t>Fomento à pesquisa - Economia e Tecnologia</t>
  </si>
  <si>
    <t>1278/2012</t>
  </si>
  <si>
    <t>Marcos Mueller Schlemm</t>
  </si>
  <si>
    <t>Cooperação.</t>
  </si>
  <si>
    <t>1279/2012</t>
  </si>
  <si>
    <t>Carlos Moacir Bonato</t>
  </si>
  <si>
    <t>Energias Bio-Carburantes Renováveis</t>
  </si>
  <si>
    <t>1280/2012</t>
  </si>
  <si>
    <t>Christian Luiz da Silva</t>
  </si>
  <si>
    <t>PPSUS</t>
  </si>
  <si>
    <t>Ciências Socias, Humanas e Jurídicas</t>
  </si>
  <si>
    <t>Sistema de apuração e gestão de custos dos hospitais próprios da Secretaria de Estado da Saúde do Paraná: Uma proposta metodológica de Lean Service e custo por atividade aplicado aos hospitais paranaenses.</t>
  </si>
  <si>
    <t>1281/2012</t>
  </si>
  <si>
    <t>Lazara Pereira Campos Caramori</t>
  </si>
  <si>
    <t>Perfil sociodemográfico, rotatividade e fixação dos profissionais que compõe as equipes de Núcleo de Apoio à Saúde da Família em municípios da 17ª  Regional de Saúde do Paraná.</t>
  </si>
  <si>
    <t>1282/2012</t>
  </si>
  <si>
    <t>Maria Lucia Frizon Rizzotto</t>
  </si>
  <si>
    <t>Força de trabalho em saúde: Estrutura, dinâmica e tendência na macrorregião oeste do Paraná.</t>
  </si>
  <si>
    <t>1283/2012</t>
  </si>
  <si>
    <t>Renata Iani Werneck</t>
  </si>
  <si>
    <t>O tratamento restaurador atraumático na atenção básica e seu impacto na qualidade de vida em crianças de diferentes regiões do Paraná - Projeto longitudinal multicêntrico.</t>
  </si>
  <si>
    <t>1284/2012</t>
  </si>
  <si>
    <t>Rodrigo Siqueira Reis</t>
  </si>
  <si>
    <t>Práticas locais e o uso de evidências na prevenção de doenças crônicas não transmissíveis no Estado do Paraná.</t>
  </si>
  <si>
    <t>1285/2012</t>
  </si>
  <si>
    <t>Nelson Shozo Uchimura</t>
  </si>
  <si>
    <t>Adequação dos encaminhamentos e da assistência às gestantes de alto risco atendidas no Programa da Rede Mãe Paranaense do Hospital Universitário Regional de Maringá.</t>
  </si>
  <si>
    <t>1286/2012</t>
  </si>
  <si>
    <t>Magda Lucia Félix de Oliveira</t>
  </si>
  <si>
    <t>Vigilância epidemiológica das intoxicações por drogas de abuso: Investigação de evento sentinela por critérios epidemiológicos, clínicos e laboratoriais.</t>
  </si>
  <si>
    <t>1287/2012</t>
  </si>
  <si>
    <t>David Livinstone Alves Figueiredo</t>
  </si>
  <si>
    <t>Estudos de avaliação e gestão de tecnologia para o SUS: Capacitação técnica no diagnóstico de lesões de boca, avaliação do perfil epidemiológico das lesões de boca na 5ª Regional de saúde do Paraná e análise molecular na busca de marcadores de agressividade e potencias alvos para terapia do câncer de boca.</t>
  </si>
  <si>
    <t>1288/2012</t>
  </si>
  <si>
    <t>Marcos Ereno Auler</t>
  </si>
  <si>
    <t>Mortalidade infantil no Estado do Paraná: Investigação dos casos de infecção hospitalar, tendências e perspectivas.</t>
  </si>
  <si>
    <t>1289/2012</t>
  </si>
  <si>
    <t>Daniela Viganó Zanoti Jeronymo</t>
  </si>
  <si>
    <t>Componentes da rede de atenção à saúde mental: Realidade da 4ª e 5ª Regional da Saúde.</t>
  </si>
  <si>
    <t>1290/2012</t>
  </si>
  <si>
    <t>Rafael Siqueira de Guimarães</t>
  </si>
  <si>
    <t>Violência intrafamiliar: Avaliação e encaminhamentos realizadas por agentes.</t>
  </si>
  <si>
    <t>1291/2012</t>
  </si>
  <si>
    <t>Karen Brajão de Oliveira</t>
  </si>
  <si>
    <t>Diagnóstico molecular do papilomavírus humano (HPV): Prevalência  e genotipagem viral na população da região Norte do Paraná.</t>
  </si>
  <si>
    <t>1292/2012</t>
  </si>
  <si>
    <t>Alberto Durán Gonzalez</t>
  </si>
  <si>
    <t>Os consórcios intermunicipais de saúde e o desenvolvimento das redes de atenção à saúde no Paraná: Modelos organizativos, desempenho e perspectivas.</t>
  </si>
  <si>
    <t>1293/2012</t>
  </si>
  <si>
    <t>João José Batista de Campos</t>
  </si>
  <si>
    <t>A Gestão do trabalho no SUS em Municípios de pequeno porte do Paraná a partir do olhar da Equipe Gestora.</t>
  </si>
  <si>
    <t>1294/2012</t>
  </si>
  <si>
    <t>Rossana Staevie Baduy</t>
  </si>
  <si>
    <t>Implantação dos núcleos de Apoio à Saúde da Família no Estado do Paraná: Um olhar para os processos de trabalho na atenção básica à saúde.</t>
  </si>
  <si>
    <t>1295/2012</t>
  </si>
  <si>
    <t>Monitoramento da qualidade de atenção ao pré-natal relacionada ao risco de infecção neonatal por Streptococcus agalactiae em usuárias do SUS no Paraná e análise de estratégias para prevenção da enfermidade.</t>
  </si>
  <si>
    <t>1296/2012</t>
  </si>
  <si>
    <t>Ricardo Sergio Couto de Almeida</t>
  </si>
  <si>
    <t>Candidiase mamilar : Avaliação epidemiológica na cidade de Londrin, seu papel no desmane prematuro e avaliação do tratamento.</t>
  </si>
  <si>
    <t>1297/2012</t>
  </si>
  <si>
    <t>Marcia Hiromi Sakai</t>
  </si>
  <si>
    <t>Estrutura e sociodemografia da força de trabalho em saúde do Sistema Único de Saúde (SUS) do Estado do Paraná.</t>
  </si>
  <si>
    <t>1298/2012</t>
  </si>
  <si>
    <t>Giuliana Gelbcke Kasecker Botelho</t>
  </si>
  <si>
    <t>17/2012 - Bolsa Medicina Veterinária</t>
  </si>
  <si>
    <t>Programa de aprimoramento em Medicina Veterinária (PAMV - Unicentro).</t>
  </si>
  <si>
    <t>1299/2012</t>
  </si>
  <si>
    <t>Thales Ricardo Rigo Barreiros</t>
  </si>
  <si>
    <t>Programa de Apoio à Pós-Graduação Lato Sensu - Residência em Medicina Veterinária.</t>
  </si>
  <si>
    <t>1300/2012</t>
  </si>
  <si>
    <t>Max Gimenez Ribeiro</t>
  </si>
  <si>
    <t>Programa de aprimoramento em Medicina Veterinária.</t>
  </si>
  <si>
    <t>1301/2012</t>
  </si>
  <si>
    <t>Marconi Rodrigues de Farias</t>
  </si>
  <si>
    <t>Residência médico veterinária em Clínica Médica de Animais de Companhia.</t>
  </si>
  <si>
    <t>1302/2012</t>
  </si>
  <si>
    <t>09/2012 - Fundação Grupo Boticário</t>
  </si>
  <si>
    <t>Vegetação e mecanismos de regeneração natural em dois fragmentos de floresta ombrófila mista sob o sistema de Faxinais, em diferentes estágios de sucessão.</t>
  </si>
  <si>
    <t>1303/2012</t>
  </si>
  <si>
    <t>Paulo Henrique Labiak Evangelista</t>
  </si>
  <si>
    <t>Flora do Paraná Online - Diversidade, distribuição e conservação das plantas do Paraná.</t>
  </si>
  <si>
    <t>1304/2012</t>
  </si>
  <si>
    <t>Francisco Paulo Chaimsohn</t>
  </si>
  <si>
    <t>Exploração de frutos da palmeira juçara (Euterpe edulis M.) como estratégia para conservação da espécie e alternativa de renda para agricultores familiares, quilombolas e outras comunidades tradicionais do Litoral do PR.</t>
  </si>
  <si>
    <t>1305/2012</t>
  </si>
  <si>
    <t>Projeto Pirapitinga - Análise da diversidade genética de uma população remanescente de Pirapitinga (Brycon nattereri), uma espécie de peixe ameaçada de extinção, encontrada no Rio Laranjinha.</t>
  </si>
  <si>
    <t>Proto colo</t>
  </si>
  <si>
    <t>PORTAL DA TRANSPARÊNCIA DA FUNDAÇÃO ARAUCÁRIA</t>
  </si>
  <si>
    <t>CONVÊNIOS FIRMADOS - 2012</t>
  </si>
  <si>
    <t>Fonte: SECONV</t>
  </si>
  <si>
    <t>Curitiba, 14 de Fevereiro de 2017.</t>
  </si>
  <si>
    <t>Fernanda C. Scheidt - Setor de Convênios</t>
  </si>
  <si>
    <t>Paulo Slud Brofman - Presidente</t>
  </si>
  <si>
    <t>José Carlos Gehr - Diretor Administrativo Financeiro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</si>
</sst>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;&quot; (&quot;#,##0.00\);&quot; -&quot;#\ ;@\ "/>
  </numFmts>
  <fonts count="49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8"/>
      <name val="Calibri"/>
      <family val="2"/>
    </font>
    <font>
      <b/>
      <sz val="11"/>
      <color indexed="5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9"/>
      <color indexed="30"/>
      <name val="Arial"/>
      <family val="2"/>
    </font>
    <font>
      <sz val="10"/>
      <color indexed="30"/>
      <name val="Arial"/>
      <family val="2"/>
    </font>
    <font>
      <b/>
      <sz val="9"/>
      <color indexed="30"/>
      <name val="Arial"/>
      <family val="2"/>
    </font>
    <font>
      <b/>
      <sz val="10"/>
      <color indexed="30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sz val="8"/>
      <color indexed="8"/>
      <name val="Arial Narrow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  <charset val="1"/>
    </font>
    <font>
      <b/>
      <sz val="10"/>
      <color indexed="8"/>
      <name val="Arial"/>
      <family val="2"/>
    </font>
    <font>
      <sz val="9"/>
      <color indexed="8"/>
      <name val="Arial"/>
      <family val="2"/>
      <charset val="1"/>
    </font>
    <font>
      <sz val="9"/>
      <color indexed="10"/>
      <name val="Arial"/>
      <family val="2"/>
      <charset val="1"/>
    </font>
    <font>
      <sz val="9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color indexed="30"/>
      <name val="Arial Narrow"/>
      <family val="2"/>
    </font>
    <font>
      <b/>
      <sz val="8"/>
      <color indexed="30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sz val="6"/>
      <color indexed="8"/>
      <name val="Arial Narrow"/>
      <family val="2"/>
    </font>
    <font>
      <sz val="11"/>
      <color indexed="8"/>
      <name val="Arial Narrow"/>
      <family val="2"/>
    </font>
    <font>
      <b/>
      <sz val="6"/>
      <color indexed="8"/>
      <name val="Arial Narrow"/>
      <family val="2"/>
    </font>
    <font>
      <sz val="10"/>
      <name val="Arial Narrow"/>
      <family val="2"/>
    </font>
    <font>
      <i/>
      <sz val="11"/>
      <color indexed="8"/>
      <name val="Arial Narrow"/>
      <family val="2"/>
    </font>
    <font>
      <i/>
      <sz val="8"/>
      <color indexed="30"/>
      <name val="Arial Narrow"/>
      <family val="2"/>
    </font>
    <font>
      <i/>
      <sz val="6"/>
      <color indexed="8"/>
      <name val="Arial Narrow"/>
      <family val="2"/>
    </font>
    <font>
      <b/>
      <i/>
      <sz val="6"/>
      <color indexed="8"/>
      <name val="Arial Narrow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6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58"/>
      </left>
      <right style="double">
        <color indexed="58"/>
      </right>
      <top style="double">
        <color indexed="58"/>
      </top>
      <bottom style="double">
        <color indexed="58"/>
      </bottom>
      <diagonal/>
    </border>
    <border>
      <left style="double">
        <color indexed="59"/>
      </left>
      <right style="double">
        <color indexed="59"/>
      </right>
      <top style="double">
        <color indexed="59"/>
      </top>
      <bottom style="double">
        <color indexed="5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5" fillId="17" borderId="3" applyNumberFormat="0" applyAlignment="0" applyProtection="0"/>
    <xf numFmtId="0" fontId="6" fillId="0" borderId="4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0" fontId="9" fillId="22" borderId="0" applyNumberFormat="0" applyBorder="0" applyAlignment="0" applyProtection="0"/>
    <xf numFmtId="0" fontId="35" fillId="23" borderId="5" applyNumberFormat="0" applyAlignment="0" applyProtection="0"/>
    <xf numFmtId="0" fontId="10" fillId="16" borderId="7" applyNumberFormat="0" applyAlignment="0" applyProtection="0"/>
    <xf numFmtId="0" fontId="11" fillId="16" borderId="8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12" applyNumberFormat="0" applyFill="0" applyAlignment="0" applyProtection="0"/>
    <xf numFmtId="164" fontId="35" fillId="0" borderId="0" applyFill="0" applyBorder="0" applyAlignment="0" applyProtection="0"/>
  </cellStyleXfs>
  <cellXfs count="163"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0" fontId="27" fillId="0" borderId="0" xfId="0" applyFont="1" applyAlignment="1">
      <alignment horizontal="center" vertical="center" wrapText="1"/>
    </xf>
    <xf numFmtId="39" fontId="27" fillId="0" borderId="0" xfId="54" applyNumberFormat="1" applyFont="1" applyFill="1" applyBorder="1" applyAlignment="1" applyProtection="1">
      <alignment vertical="center" wrapText="1"/>
    </xf>
    <xf numFmtId="164" fontId="27" fillId="0" borderId="0" xfId="54" applyFont="1" applyFill="1" applyBorder="1" applyAlignment="1" applyProtection="1">
      <alignment horizontal="center" vertical="center" wrapText="1"/>
    </xf>
    <xf numFmtId="164" fontId="28" fillId="0" borderId="0" xfId="54" applyFont="1" applyFill="1" applyBorder="1" applyAlignment="1" applyProtection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14" fontId="27" fillId="0" borderId="0" xfId="54" applyNumberFormat="1" applyFont="1" applyFill="1" applyBorder="1" applyAlignment="1" applyProtection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/>
    <xf numFmtId="0" fontId="29" fillId="0" borderId="0" xfId="0" applyFont="1"/>
    <xf numFmtId="0" fontId="28" fillId="0" borderId="6" xfId="0" applyFont="1" applyBorder="1" applyAlignment="1">
      <alignment horizontal="center" vertical="center" wrapText="1"/>
    </xf>
    <xf numFmtId="39" fontId="30" fillId="0" borderId="6" xfId="54" applyNumberFormat="1" applyFont="1" applyFill="1" applyBorder="1" applyAlignment="1" applyProtection="1">
      <alignment horizontal="center" vertical="center" wrapText="1"/>
    </xf>
    <xf numFmtId="39" fontId="28" fillId="0" borderId="6" xfId="54" applyNumberFormat="1" applyFont="1" applyFill="1" applyBorder="1" applyAlignment="1" applyProtection="1">
      <alignment horizontal="center" vertical="center" wrapText="1"/>
    </xf>
    <xf numFmtId="164" fontId="28" fillId="0" borderId="6" xfId="54" applyFont="1" applyFill="1" applyBorder="1" applyAlignment="1" applyProtection="1">
      <alignment horizontal="center" vertical="center" wrapText="1"/>
    </xf>
    <xf numFmtId="14" fontId="28" fillId="0" borderId="6" xfId="54" applyNumberFormat="1" applyFont="1" applyFill="1" applyBorder="1" applyAlignment="1" applyProtection="1">
      <alignment horizontal="center" vertical="center" wrapText="1"/>
    </xf>
    <xf numFmtId="0" fontId="28" fillId="0" borderId="6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6" xfId="0" applyFont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39" fontId="32" fillId="0" borderId="6" xfId="54" applyNumberFormat="1" applyFont="1" applyFill="1" applyBorder="1" applyAlignment="1" applyProtection="1">
      <alignment horizontal="center" vertical="center" wrapText="1"/>
    </xf>
    <xf numFmtId="39" fontId="32" fillId="0" borderId="6" xfId="54" applyNumberFormat="1" applyFont="1" applyFill="1" applyBorder="1" applyAlignment="1" applyProtection="1">
      <alignment vertical="center" wrapText="1"/>
    </xf>
    <xf numFmtId="164" fontId="32" fillId="0" borderId="6" xfId="54" applyFont="1" applyFill="1" applyBorder="1" applyAlignment="1" applyProtection="1">
      <alignment horizontal="center" vertical="center" wrapText="1"/>
    </xf>
    <xf numFmtId="164" fontId="33" fillId="0" borderId="6" xfId="54" applyFont="1" applyFill="1" applyBorder="1" applyAlignment="1" applyProtection="1">
      <alignment horizontal="center" vertical="center" wrapText="1"/>
    </xf>
    <xf numFmtId="164" fontId="30" fillId="0" borderId="6" xfId="54" applyFont="1" applyFill="1" applyBorder="1" applyAlignment="1" applyProtection="1">
      <alignment horizontal="center" vertical="center" wrapText="1"/>
    </xf>
    <xf numFmtId="14" fontId="32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/>
    </xf>
    <xf numFmtId="14" fontId="32" fillId="0" borderId="6" xfId="0" applyNumberFormat="1" applyFont="1" applyFill="1" applyBorder="1" applyAlignment="1">
      <alignment horizontal="center" vertical="center" wrapText="1"/>
    </xf>
    <xf numFmtId="0" fontId="34" fillId="25" borderId="6" xfId="0" applyFont="1" applyFill="1" applyBorder="1" applyAlignment="1">
      <alignment horizontal="center" vertical="center" wrapText="1"/>
    </xf>
    <xf numFmtId="14" fontId="27" fillId="0" borderId="6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39" fontId="27" fillId="0" borderId="6" xfId="54" applyNumberFormat="1" applyFont="1" applyFill="1" applyBorder="1" applyAlignment="1" applyProtection="1">
      <alignment horizontal="center" vertical="center" wrapText="1"/>
    </xf>
    <xf numFmtId="39" fontId="27" fillId="0" borderId="6" xfId="54" applyNumberFormat="1" applyFont="1" applyFill="1" applyBorder="1" applyAlignment="1" applyProtection="1">
      <alignment vertical="center" wrapText="1"/>
    </xf>
    <xf numFmtId="164" fontId="27" fillId="0" borderId="6" xfId="54" applyFont="1" applyFill="1" applyBorder="1" applyAlignment="1" applyProtection="1">
      <alignment horizontal="center" vertical="center" wrapText="1"/>
    </xf>
    <xf numFmtId="164" fontId="24" fillId="0" borderId="6" xfId="54" applyFont="1" applyFill="1" applyBorder="1" applyAlignment="1" applyProtection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3" fontId="32" fillId="0" borderId="6" xfId="0" applyNumberFormat="1" applyFont="1" applyBorder="1" applyAlignment="1">
      <alignment horizontal="center" vertical="center" wrapText="1"/>
    </xf>
    <xf numFmtId="0" fontId="20" fillId="0" borderId="0" xfId="0" applyFont="1" applyFill="1"/>
    <xf numFmtId="0" fontId="21" fillId="0" borderId="0" xfId="0" applyFont="1" applyFill="1"/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3" xfId="0" applyFont="1" applyBorder="1" applyAlignment="1">
      <alignment vertical="center" wrapText="1"/>
    </xf>
    <xf numFmtId="14" fontId="26" fillId="0" borderId="13" xfId="0" applyNumberFormat="1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/>
    </xf>
    <xf numFmtId="0" fontId="26" fillId="0" borderId="13" xfId="0" applyFont="1" applyBorder="1" applyAlignment="1">
      <alignment horizontal="left" vertical="center" wrapText="1"/>
    </xf>
    <xf numFmtId="14" fontId="26" fillId="0" borderId="13" xfId="0" applyNumberFormat="1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/>
    </xf>
    <xf numFmtId="0" fontId="26" fillId="24" borderId="13" xfId="0" applyFont="1" applyFill="1" applyBorder="1" applyAlignment="1">
      <alignment horizontal="center" vertical="center" wrapText="1"/>
    </xf>
    <xf numFmtId="0" fontId="26" fillId="24" borderId="13" xfId="0" applyFont="1" applyFill="1" applyBorder="1" applyAlignment="1">
      <alignment horizontal="left" vertical="center" wrapText="1"/>
    </xf>
    <xf numFmtId="14" fontId="26" fillId="24" borderId="13" xfId="0" applyNumberFormat="1" applyFont="1" applyFill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center" vertical="center" wrapText="1"/>
    </xf>
    <xf numFmtId="14" fontId="26" fillId="25" borderId="13" xfId="0" applyNumberFormat="1" applyFont="1" applyFill="1" applyBorder="1" applyAlignment="1">
      <alignment horizontal="center" vertical="center" wrapText="1"/>
    </xf>
    <xf numFmtId="0" fontId="26" fillId="25" borderId="13" xfId="0" applyFont="1" applyFill="1" applyBorder="1" applyAlignment="1">
      <alignment horizontal="center" vertical="center"/>
    </xf>
    <xf numFmtId="0" fontId="26" fillId="25" borderId="13" xfId="0" applyFont="1" applyFill="1" applyBorder="1" applyAlignment="1">
      <alignment horizontal="left" vertical="center" wrapText="1"/>
    </xf>
    <xf numFmtId="3" fontId="26" fillId="0" borderId="13" xfId="0" applyNumberFormat="1" applyFont="1" applyBorder="1" applyAlignment="1">
      <alignment horizontal="center" vertical="center"/>
    </xf>
    <xf numFmtId="0" fontId="26" fillId="0" borderId="13" xfId="0" applyNumberFormat="1" applyFont="1" applyBorder="1" applyAlignment="1">
      <alignment horizontal="center" vertical="center"/>
    </xf>
    <xf numFmtId="14" fontId="26" fillId="0" borderId="13" xfId="0" applyNumberFormat="1" applyFont="1" applyBorder="1" applyAlignment="1">
      <alignment horizontal="center" vertical="center"/>
    </xf>
    <xf numFmtId="3" fontId="26" fillId="0" borderId="13" xfId="0" applyNumberFormat="1" applyFont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 wrapText="1"/>
    </xf>
    <xf numFmtId="0" fontId="26" fillId="27" borderId="13" xfId="0" applyFont="1" applyFill="1" applyBorder="1" applyAlignment="1">
      <alignment horizontal="center" vertical="center"/>
    </xf>
    <xf numFmtId="14" fontId="26" fillId="27" borderId="13" xfId="0" applyNumberFormat="1" applyFont="1" applyFill="1" applyBorder="1" applyAlignment="1">
      <alignment horizontal="center" vertical="center" wrapText="1"/>
    </xf>
    <xf numFmtId="14" fontId="26" fillId="0" borderId="13" xfId="54" applyNumberFormat="1" applyFont="1" applyFill="1" applyBorder="1" applyAlignment="1" applyProtection="1">
      <alignment horizontal="center" vertical="center"/>
    </xf>
    <xf numFmtId="0" fontId="26" fillId="24" borderId="13" xfId="0" applyFont="1" applyFill="1" applyBorder="1" applyAlignment="1">
      <alignment horizontal="center" vertical="center"/>
    </xf>
    <xf numFmtId="3" fontId="26" fillId="27" borderId="13" xfId="0" applyNumberFormat="1" applyFont="1" applyFill="1" applyBorder="1" applyAlignment="1">
      <alignment horizontal="center" vertical="center" wrapText="1"/>
    </xf>
    <xf numFmtId="14" fontId="26" fillId="27" borderId="13" xfId="54" applyNumberFormat="1" applyFont="1" applyFill="1" applyBorder="1" applyAlignment="1" applyProtection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14" fontId="37" fillId="0" borderId="0" xfId="0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0" fontId="26" fillId="0" borderId="13" xfId="0" applyFont="1" applyBorder="1" applyAlignment="1">
      <alignment vertical="center"/>
    </xf>
    <xf numFmtId="14" fontId="26" fillId="0" borderId="13" xfId="0" applyNumberFormat="1" applyFont="1" applyBorder="1" applyAlignment="1">
      <alignment vertical="center"/>
    </xf>
    <xf numFmtId="14" fontId="26" fillId="27" borderId="13" xfId="0" applyNumberFormat="1" applyFont="1" applyFill="1" applyBorder="1" applyAlignment="1">
      <alignment vertical="center"/>
    </xf>
    <xf numFmtId="14" fontId="37" fillId="0" borderId="0" xfId="54" applyNumberFormat="1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>
      <alignment horizontal="left" vertical="center" wrapText="1"/>
    </xf>
    <xf numFmtId="49" fontId="26" fillId="0" borderId="13" xfId="0" applyNumberFormat="1" applyFont="1" applyBorder="1" applyAlignment="1">
      <alignment horizontal="left" vertical="center" wrapText="1"/>
    </xf>
    <xf numFmtId="49" fontId="26" fillId="24" borderId="13" xfId="0" applyNumberFormat="1" applyFont="1" applyFill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/>
    </xf>
    <xf numFmtId="39" fontId="26" fillId="0" borderId="13" xfId="54" applyNumberFormat="1" applyFont="1" applyFill="1" applyBorder="1" applyAlignment="1" applyProtection="1">
      <alignment horizontal="left" vertical="center" wrapText="1"/>
    </xf>
    <xf numFmtId="0" fontId="26" fillId="27" borderId="13" xfId="0" applyFont="1" applyFill="1" applyBorder="1" applyAlignment="1">
      <alignment horizontal="left" vertical="center" wrapText="1"/>
    </xf>
    <xf numFmtId="0" fontId="37" fillId="0" borderId="0" xfId="0" applyFont="1" applyAlignment="1">
      <alignment horizontal="left" vertical="center" wrapText="1"/>
    </xf>
    <xf numFmtId="164" fontId="36" fillId="0" borderId="13" xfId="54" applyFont="1" applyFill="1" applyBorder="1" applyAlignment="1" applyProtection="1">
      <alignment horizontal="right" vertical="center" wrapText="1"/>
    </xf>
    <xf numFmtId="39" fontId="26" fillId="0" borderId="13" xfId="54" applyNumberFormat="1" applyFont="1" applyFill="1" applyBorder="1" applyAlignment="1" applyProtection="1">
      <alignment horizontal="right" vertical="center" wrapText="1"/>
    </xf>
    <xf numFmtId="164" fontId="26" fillId="0" borderId="13" xfId="54" applyFont="1" applyFill="1" applyBorder="1" applyAlignment="1" applyProtection="1">
      <alignment horizontal="right" vertical="center" wrapText="1"/>
    </xf>
    <xf numFmtId="39" fontId="26" fillId="24" borderId="13" xfId="54" applyNumberFormat="1" applyFont="1" applyFill="1" applyBorder="1" applyAlignment="1" applyProtection="1">
      <alignment horizontal="right" vertical="center" wrapText="1"/>
    </xf>
    <xf numFmtId="164" fontId="26" fillId="24" borderId="13" xfId="54" applyFont="1" applyFill="1" applyBorder="1" applyAlignment="1" applyProtection="1">
      <alignment horizontal="right" vertical="center" wrapText="1"/>
    </xf>
    <xf numFmtId="39" fontId="26" fillId="25" borderId="13" xfId="54" applyNumberFormat="1" applyFont="1" applyFill="1" applyBorder="1" applyAlignment="1" applyProtection="1">
      <alignment horizontal="right" vertical="center" wrapText="1"/>
    </xf>
    <xf numFmtId="164" fontId="26" fillId="25" borderId="13" xfId="54" applyFont="1" applyFill="1" applyBorder="1" applyAlignment="1" applyProtection="1">
      <alignment horizontal="right" vertical="center" wrapText="1"/>
    </xf>
    <xf numFmtId="0" fontId="26" fillId="0" borderId="13" xfId="0" applyFont="1" applyBorder="1" applyAlignment="1">
      <alignment horizontal="right" vertical="center"/>
    </xf>
    <xf numFmtId="39" fontId="26" fillId="27" borderId="13" xfId="54" applyNumberFormat="1" applyFont="1" applyFill="1" applyBorder="1" applyAlignment="1" applyProtection="1">
      <alignment horizontal="right" vertical="center" wrapText="1"/>
    </xf>
    <xf numFmtId="164" fontId="26" fillId="27" borderId="13" xfId="54" applyFont="1" applyFill="1" applyBorder="1" applyAlignment="1" applyProtection="1">
      <alignment horizontal="right" vertical="center" wrapText="1"/>
    </xf>
    <xf numFmtId="164" fontId="36" fillId="27" borderId="13" xfId="54" applyFont="1" applyFill="1" applyBorder="1" applyAlignment="1" applyProtection="1">
      <alignment horizontal="right" vertical="center" wrapText="1"/>
    </xf>
    <xf numFmtId="0" fontId="26" fillId="27" borderId="13" xfId="0" applyFont="1" applyFill="1" applyBorder="1" applyAlignment="1">
      <alignment horizontal="right" vertical="center"/>
    </xf>
    <xf numFmtId="0" fontId="26" fillId="0" borderId="13" xfId="0" applyFont="1" applyBorder="1" applyAlignment="1">
      <alignment horizontal="right" vertical="center" wrapText="1"/>
    </xf>
    <xf numFmtId="4" fontId="26" fillId="0" borderId="13" xfId="0" applyNumberFormat="1" applyFont="1" applyBorder="1" applyAlignment="1">
      <alignment horizontal="right" vertical="center" wrapText="1"/>
    </xf>
    <xf numFmtId="39" fontId="37" fillId="0" borderId="0" xfId="54" applyNumberFormat="1" applyFont="1" applyFill="1" applyBorder="1" applyAlignment="1" applyProtection="1">
      <alignment horizontal="right" vertical="center" wrapText="1"/>
    </xf>
    <xf numFmtId="164" fontId="37" fillId="0" borderId="0" xfId="54" applyFont="1" applyFill="1" applyBorder="1" applyAlignment="1" applyProtection="1">
      <alignment horizontal="right" vertical="center" wrapText="1"/>
    </xf>
    <xf numFmtId="164" fontId="38" fillId="0" borderId="0" xfId="54" applyFont="1" applyFill="1" applyBorder="1" applyAlignment="1" applyProtection="1">
      <alignment horizontal="right" vertical="center" wrapText="1"/>
    </xf>
    <xf numFmtId="0" fontId="22" fillId="0" borderId="0" xfId="0" applyFont="1"/>
    <xf numFmtId="0" fontId="23" fillId="0" borderId="0" xfId="0" applyFont="1"/>
    <xf numFmtId="0" fontId="26" fillId="0" borderId="15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vertical="center" wrapText="1"/>
    </xf>
    <xf numFmtId="0" fontId="26" fillId="0" borderId="15" xfId="0" applyFont="1" applyFill="1" applyBorder="1" applyAlignment="1">
      <alignment horizontal="left" vertical="center" wrapText="1"/>
    </xf>
    <xf numFmtId="39" fontId="26" fillId="0" borderId="15" xfId="54" applyNumberFormat="1" applyFont="1" applyFill="1" applyBorder="1" applyAlignment="1" applyProtection="1">
      <alignment horizontal="right" vertical="center" wrapText="1"/>
    </xf>
    <xf numFmtId="164" fontId="26" fillId="0" borderId="15" xfId="54" applyFont="1" applyFill="1" applyBorder="1" applyAlignment="1" applyProtection="1">
      <alignment horizontal="right" vertical="center" wrapText="1"/>
    </xf>
    <xf numFmtId="164" fontId="36" fillId="0" borderId="15" xfId="54" applyFont="1" applyFill="1" applyBorder="1" applyAlignment="1" applyProtection="1">
      <alignment horizontal="right" vertical="center" wrapText="1"/>
    </xf>
    <xf numFmtId="14" fontId="26" fillId="0" borderId="15" xfId="0" applyNumberFormat="1" applyFont="1" applyBorder="1" applyAlignment="1">
      <alignment horizontal="center" vertical="center" wrapText="1"/>
    </xf>
    <xf numFmtId="14" fontId="26" fillId="0" borderId="15" xfId="54" applyNumberFormat="1" applyFont="1" applyFill="1" applyBorder="1" applyAlignment="1" applyProtection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36" fillId="26" borderId="14" xfId="0" applyFont="1" applyFill="1" applyBorder="1" applyAlignment="1">
      <alignment horizontal="center" vertical="center" wrapText="1"/>
    </xf>
    <xf numFmtId="0" fontId="36" fillId="26" borderId="14" xfId="0" applyFont="1" applyFill="1" applyBorder="1" applyAlignment="1">
      <alignment horizontal="left" vertical="center" wrapText="1"/>
    </xf>
    <xf numFmtId="39" fontId="36" fillId="26" borderId="14" xfId="54" applyNumberFormat="1" applyFont="1" applyFill="1" applyBorder="1" applyAlignment="1" applyProtection="1">
      <alignment horizontal="right" vertical="center" wrapText="1"/>
    </xf>
    <xf numFmtId="164" fontId="36" fillId="26" borderId="14" xfId="54" applyFont="1" applyFill="1" applyBorder="1" applyAlignment="1" applyProtection="1">
      <alignment horizontal="right" vertical="center" wrapText="1"/>
    </xf>
    <xf numFmtId="164" fontId="36" fillId="26" borderId="14" xfId="54" applyFont="1" applyFill="1" applyBorder="1" applyAlignment="1" applyProtection="1">
      <alignment horizontal="center" vertical="center" wrapText="1"/>
    </xf>
    <xf numFmtId="0" fontId="36" fillId="26" borderId="14" xfId="0" applyFont="1" applyFill="1" applyBorder="1" applyAlignment="1">
      <alignment horizontal="center" vertical="center"/>
    </xf>
    <xf numFmtId="0" fontId="36" fillId="28" borderId="13" xfId="0" applyFont="1" applyFill="1" applyBorder="1" applyAlignment="1">
      <alignment horizontal="center" vertical="center" wrapText="1"/>
    </xf>
    <xf numFmtId="39" fontId="36" fillId="28" borderId="13" xfId="54" applyNumberFormat="1" applyFont="1" applyFill="1" applyBorder="1" applyAlignment="1" applyProtection="1">
      <alignment horizontal="center" vertical="center" wrapText="1"/>
    </xf>
    <xf numFmtId="164" fontId="36" fillId="28" borderId="13" xfId="54" applyFont="1" applyFill="1" applyBorder="1" applyAlignment="1" applyProtection="1">
      <alignment horizontal="center" vertical="center" wrapText="1"/>
    </xf>
    <xf numFmtId="14" fontId="36" fillId="28" borderId="13" xfId="54" applyNumberFormat="1" applyFont="1" applyFill="1" applyBorder="1" applyAlignment="1" applyProtection="1">
      <alignment horizontal="center" vertical="center" wrapText="1"/>
    </xf>
    <xf numFmtId="0" fontId="36" fillId="28" borderId="13" xfId="0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2" fillId="0" borderId="0" xfId="0" applyFont="1" applyAlignment="1">
      <alignment horizontal="left" vertical="center"/>
    </xf>
    <xf numFmtId="39" fontId="41" fillId="0" borderId="0" xfId="54" applyNumberFormat="1" applyFont="1" applyFill="1" applyBorder="1" applyAlignment="1" applyProtection="1">
      <alignment horizontal="right" vertical="center" wrapText="1"/>
    </xf>
    <xf numFmtId="164" fontId="41" fillId="0" borderId="0" xfId="54" applyFont="1" applyFill="1" applyBorder="1" applyAlignment="1" applyProtection="1">
      <alignment horizontal="right" vertical="center" wrapText="1"/>
    </xf>
    <xf numFmtId="164" fontId="43" fillId="0" borderId="0" xfId="54" applyFont="1" applyFill="1" applyBorder="1" applyAlignment="1" applyProtection="1">
      <alignment horizontal="right" vertical="center" wrapText="1"/>
    </xf>
    <xf numFmtId="0" fontId="43" fillId="0" borderId="0" xfId="54" applyNumberFormat="1" applyFont="1" applyFill="1" applyBorder="1" applyAlignment="1" applyProtection="1">
      <alignment horizontal="center" vertical="center" wrapText="1"/>
    </xf>
    <xf numFmtId="4" fontId="41" fillId="0" borderId="0" xfId="0" applyNumberFormat="1" applyFont="1" applyAlignment="1">
      <alignment horizontal="right" vertical="center" wrapText="1"/>
    </xf>
    <xf numFmtId="164" fontId="42" fillId="0" borderId="0" xfId="54" applyFont="1" applyFill="1" applyBorder="1" applyAlignment="1" applyProtection="1">
      <alignment horizontal="left"/>
    </xf>
    <xf numFmtId="0" fontId="41" fillId="0" borderId="0" xfId="0" applyFont="1" applyAlignment="1">
      <alignment horizontal="left"/>
    </xf>
    <xf numFmtId="0" fontId="41" fillId="0" borderId="0" xfId="0" applyNumberFormat="1" applyFont="1" applyAlignment="1">
      <alignment horizontal="left"/>
    </xf>
    <xf numFmtId="0" fontId="41" fillId="0" borderId="0" xfId="0" applyFont="1" applyAlignment="1">
      <alignment horizontal="left" vertical="center"/>
    </xf>
    <xf numFmtId="0" fontId="44" fillId="0" borderId="0" xfId="0" applyFont="1" applyAlignment="1">
      <alignment horizontal="right" vertical="center"/>
    </xf>
    <xf numFmtId="0" fontId="41" fillId="0" borderId="0" xfId="0" applyFont="1" applyBorder="1" applyAlignment="1">
      <alignment horizontal="left" vertical="center" wrapText="1"/>
    </xf>
    <xf numFmtId="164" fontId="41" fillId="0" borderId="0" xfId="54" applyFont="1" applyFill="1" applyBorder="1" applyAlignment="1" applyProtection="1">
      <alignment horizontal="center" wrapText="1"/>
    </xf>
    <xf numFmtId="0" fontId="41" fillId="0" borderId="0" xfId="0" applyFont="1" applyAlignment="1">
      <alignment wrapText="1"/>
    </xf>
    <xf numFmtId="0" fontId="41" fillId="0" borderId="0" xfId="0" applyNumberFormat="1" applyFont="1" applyAlignment="1">
      <alignment horizontal="center" wrapText="1"/>
    </xf>
    <xf numFmtId="4" fontId="41" fillId="0" borderId="0" xfId="0" applyNumberFormat="1" applyFont="1" applyBorder="1" applyAlignment="1">
      <alignment horizontal="right" vertical="center" wrapText="1"/>
    </xf>
    <xf numFmtId="0" fontId="45" fillId="0" borderId="16" xfId="0" applyFont="1" applyBorder="1" applyAlignment="1">
      <alignment horizontal="center" vertical="center"/>
    </xf>
    <xf numFmtId="0" fontId="41" fillId="0" borderId="0" xfId="0" applyFont="1" applyBorder="1" applyAlignment="1">
      <alignment wrapText="1"/>
    </xf>
    <xf numFmtId="0" fontId="41" fillId="0" borderId="17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47" fillId="0" borderId="16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6" fillId="0" borderId="16" xfId="0" applyFont="1" applyBorder="1" applyAlignment="1">
      <alignment horizontal="left" vertical="center" wrapText="1"/>
    </xf>
    <xf numFmtId="0" fontId="45" fillId="0" borderId="16" xfId="0" applyFont="1" applyBorder="1" applyAlignment="1">
      <alignment horizontal="right" vertical="center"/>
    </xf>
    <xf numFmtId="39" fontId="47" fillId="0" borderId="0" xfId="54" applyNumberFormat="1" applyFont="1" applyFill="1" applyBorder="1" applyAlignment="1" applyProtection="1">
      <alignment horizontal="right" vertical="center" wrapText="1"/>
    </xf>
    <xf numFmtId="164" fontId="47" fillId="0" borderId="0" xfId="54" applyFont="1" applyFill="1" applyBorder="1" applyAlignment="1" applyProtection="1">
      <alignment horizontal="right" vertical="center" wrapText="1"/>
    </xf>
    <xf numFmtId="164" fontId="47" fillId="0" borderId="16" xfId="54" applyFont="1" applyFill="1" applyBorder="1" applyAlignment="1" applyProtection="1">
      <alignment horizontal="right" vertical="center" wrapText="1"/>
    </xf>
    <xf numFmtId="0" fontId="48" fillId="0" borderId="16" xfId="54" applyNumberFormat="1" applyFont="1" applyFill="1" applyBorder="1" applyAlignment="1" applyProtection="1">
      <alignment horizontal="center" vertical="center" wrapText="1"/>
    </xf>
    <xf numFmtId="0" fontId="45" fillId="0" borderId="16" xfId="0" applyFont="1" applyBorder="1" applyAlignment="1">
      <alignment horizontal="right"/>
    </xf>
    <xf numFmtId="0" fontId="39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</cellXfs>
  <cellStyles count="55">
    <cellStyle name="20% - Ênfase1 2" xfId="1"/>
    <cellStyle name="20% - Ênfase2 2" xfId="2"/>
    <cellStyle name="20% - Ênfase3 2" xfId="3"/>
    <cellStyle name="20% - Ênfase4 2" xfId="4"/>
    <cellStyle name="20% - Ênfase5 2" xfId="5"/>
    <cellStyle name="20% - Ênfase6 2" xfId="6"/>
    <cellStyle name="40% - Ênfase1 2" xfId="7"/>
    <cellStyle name="40% - Ênfase2 2" xfId="8"/>
    <cellStyle name="40% - Ênfase3 2" xfId="9"/>
    <cellStyle name="40% - Ênfase4 2" xfId="10"/>
    <cellStyle name="40% - Ênfase5 2" xfId="11"/>
    <cellStyle name="40% - Ênfase6 2" xfId="12"/>
    <cellStyle name="60% - Ênfase1 2" xfId="13"/>
    <cellStyle name="60% - Ênfase2 2" xfId="14"/>
    <cellStyle name="60% - Ênfase3 2" xfId="15"/>
    <cellStyle name="60% - Ênfase4 2" xfId="16"/>
    <cellStyle name="60% - Ênfase5 2" xfId="17"/>
    <cellStyle name="60% - Ênfase6 2" xfId="18"/>
    <cellStyle name="Bom 2" xfId="19"/>
    <cellStyle name="Cálculo 2" xfId="20"/>
    <cellStyle name="Célula de Verificação 2" xfId="21"/>
    <cellStyle name="Célula de Verificação 2 2" xfId="22"/>
    <cellStyle name="Célula Vinculada 2" xfId="23"/>
    <cellStyle name="Ênfase1 2" xfId="24"/>
    <cellStyle name="Ênfase2 2" xfId="25"/>
    <cellStyle name="Ênfase3 2" xfId="26"/>
    <cellStyle name="Ênfase4 2" xfId="27"/>
    <cellStyle name="Ênfase5 2" xfId="28"/>
    <cellStyle name="Ênfase6 2" xfId="29"/>
    <cellStyle name="Entrada 2" xfId="30"/>
    <cellStyle name="Incorreto 2" xfId="31"/>
    <cellStyle name="Neutra 2" xfId="32"/>
    <cellStyle name="Normal" xfId="0" builtinId="0"/>
    <cellStyle name="Nota 2" xfId="33"/>
    <cellStyle name="Saída 2" xfId="34"/>
    <cellStyle name="Saída 2 2" xfId="35"/>
    <cellStyle name="Texto de Aviso 2" xfId="36"/>
    <cellStyle name="Texto Explicativo 2" xfId="37"/>
    <cellStyle name="Título 1 1" xfId="38"/>
    <cellStyle name="Título 1 1 1" xfId="39"/>
    <cellStyle name="Título 1 1 1 1" xfId="40"/>
    <cellStyle name="Título 1 1 1 1 1" xfId="41"/>
    <cellStyle name="Título 1 1 1 1 1 1" xfId="42"/>
    <cellStyle name="Título 1 1 1 1 1 1 1" xfId="43"/>
    <cellStyle name="Título 1 1 1 1 1 1 1 1" xfId="44"/>
    <cellStyle name="Título 1 1 1 1 1 1 1 1 1" xfId="45"/>
    <cellStyle name="Título 1 1 1 1 1 1 1 1 1 1" xfId="46"/>
    <cellStyle name="Título 1 1 1 1 1 1 1 1 1 1 1" xfId="47"/>
    <cellStyle name="Título 1 1 1 1 1 1 1 1 1 1 1 2" xfId="48"/>
    <cellStyle name="Título 2 2" xfId="49"/>
    <cellStyle name="Título 3 2" xfId="50"/>
    <cellStyle name="Título 4 2" xfId="51"/>
    <cellStyle name="Título 5" xfId="52"/>
    <cellStyle name="Total 2" xfId="53"/>
    <cellStyle name="Vírgula" xfId="54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A1A1A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1090937</xdr:colOff>
      <xdr:row>0</xdr:row>
      <xdr:rowOff>82826</xdr:rowOff>
    </xdr:from>
    <xdr:to>
      <xdr:col>8</xdr:col>
      <xdr:colOff>36865</xdr:colOff>
      <xdr:row>0</xdr:row>
      <xdr:rowOff>555791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31616" y="82826"/>
          <a:ext cx="1286356" cy="4729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295"/>
  <sheetViews>
    <sheetView tabSelected="1" zoomScale="115" zoomScaleNormal="115" workbookViewId="0">
      <pane xSplit="1" topLeftCell="B1" activePane="topRight" state="frozen"/>
      <selection pane="topRight" activeCell="R1295" sqref="A1:R1295"/>
    </sheetView>
  </sheetViews>
  <sheetFormatPr defaultRowHeight="12.75" x14ac:dyDescent="0.2"/>
  <cols>
    <col min="1" max="1" width="6.42578125" style="73" customWidth="1"/>
    <col min="2" max="2" width="5.140625" style="73" customWidth="1"/>
    <col min="3" max="3" width="8.7109375" style="86" customWidth="1"/>
    <col min="4" max="4" width="12.140625" style="86" customWidth="1"/>
    <col min="5" max="5" width="19" style="86" customWidth="1"/>
    <col min="6" max="6" width="13.42578125" style="86" customWidth="1"/>
    <col min="7" max="7" width="26.5703125" style="86" customWidth="1"/>
    <col min="8" max="8" width="8.5703125" style="101" customWidth="1"/>
    <col min="9" max="9" width="8.85546875" style="101" customWidth="1"/>
    <col min="10" max="10" width="9" style="102" customWidth="1"/>
    <col min="11" max="11" width="8.42578125" style="102" customWidth="1"/>
    <col min="12" max="12" width="8.7109375" style="102" customWidth="1"/>
    <col min="13" max="13" width="9" style="103" customWidth="1"/>
    <col min="14" max="14" width="8.28515625" style="102" customWidth="1"/>
    <col min="15" max="15" width="8" style="102" customWidth="1"/>
    <col min="16" max="16" width="7.5703125" style="74" customWidth="1"/>
    <col min="17" max="17" width="7.42578125" style="79" customWidth="1"/>
    <col min="18" max="18" width="6.42578125" style="75" customWidth="1"/>
    <col min="19" max="38" width="9.140625" style="1"/>
    <col min="39" max="16384" width="9.140625" style="2"/>
  </cols>
  <sheetData>
    <row r="1" spans="1:38" ht="46.5" customHeight="1" x14ac:dyDescent="0.2">
      <c r="A1" s="126"/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</row>
    <row r="2" spans="1:38" ht="16.5" customHeight="1" x14ac:dyDescent="0.2">
      <c r="A2" s="127" t="s">
        <v>3772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61"/>
      <c r="T2" s="161"/>
      <c r="U2" s="161"/>
      <c r="V2" s="161"/>
    </row>
    <row r="3" spans="1:38" ht="18" customHeight="1" x14ac:dyDescent="0.2">
      <c r="A3" s="128" t="s">
        <v>3773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62"/>
      <c r="T3" s="162"/>
      <c r="U3" s="162"/>
      <c r="V3" s="162"/>
    </row>
    <row r="4" spans="1:38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38" s="4" customFormat="1" ht="25.5" x14ac:dyDescent="0.2">
      <c r="A5" s="121" t="s">
        <v>0</v>
      </c>
      <c r="B5" s="121" t="s">
        <v>3771</v>
      </c>
      <c r="C5" s="121" t="s">
        <v>2</v>
      </c>
      <c r="D5" s="121" t="s">
        <v>3</v>
      </c>
      <c r="E5" s="121" t="s">
        <v>4</v>
      </c>
      <c r="F5" s="121" t="s">
        <v>5</v>
      </c>
      <c r="G5" s="121" t="s">
        <v>6</v>
      </c>
      <c r="H5" s="122" t="s">
        <v>7</v>
      </c>
      <c r="I5" s="122" t="s">
        <v>8</v>
      </c>
      <c r="J5" s="123" t="s">
        <v>9</v>
      </c>
      <c r="K5" s="123" t="s">
        <v>10</v>
      </c>
      <c r="L5" s="123" t="s">
        <v>11</v>
      </c>
      <c r="M5" s="123" t="s">
        <v>12</v>
      </c>
      <c r="N5" s="123" t="s">
        <v>13</v>
      </c>
      <c r="O5" s="123" t="s">
        <v>14</v>
      </c>
      <c r="P5" s="124" t="s">
        <v>15</v>
      </c>
      <c r="Q5" s="124" t="s">
        <v>16</v>
      </c>
      <c r="R5" s="125" t="s">
        <v>17</v>
      </c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ht="38.25" x14ac:dyDescent="0.2">
      <c r="A6" s="45" t="s">
        <v>18</v>
      </c>
      <c r="B6" s="45">
        <v>24474</v>
      </c>
      <c r="C6" s="50" t="s">
        <v>19</v>
      </c>
      <c r="D6" s="50" t="s">
        <v>20</v>
      </c>
      <c r="E6" s="80" t="s">
        <v>21</v>
      </c>
      <c r="F6" s="81" t="s">
        <v>22</v>
      </c>
      <c r="G6" s="50" t="s">
        <v>23</v>
      </c>
      <c r="H6" s="88">
        <v>5477.3</v>
      </c>
      <c r="I6" s="88"/>
      <c r="J6" s="89"/>
      <c r="K6" s="89"/>
      <c r="L6" s="89">
        <f>H6+I6+J6+K6</f>
        <v>5477.3</v>
      </c>
      <c r="M6" s="87">
        <f>SUM(L6)</f>
        <v>5477.3</v>
      </c>
      <c r="N6" s="89"/>
      <c r="O6" s="89"/>
      <c r="P6" s="48">
        <v>40927</v>
      </c>
      <c r="Q6" s="48">
        <v>41048</v>
      </c>
      <c r="R6" s="49">
        <v>4858</v>
      </c>
    </row>
    <row r="7" spans="1:38" ht="76.5" x14ac:dyDescent="0.2">
      <c r="A7" s="45" t="s">
        <v>24</v>
      </c>
      <c r="B7" s="45">
        <v>24479</v>
      </c>
      <c r="C7" s="50" t="s">
        <v>19</v>
      </c>
      <c r="D7" s="50" t="s">
        <v>25</v>
      </c>
      <c r="E7" s="80" t="s">
        <v>21</v>
      </c>
      <c r="F7" s="50" t="s">
        <v>26</v>
      </c>
      <c r="G7" s="50" t="s">
        <v>27</v>
      </c>
      <c r="H7" s="88">
        <v>4852.5</v>
      </c>
      <c r="I7" s="88"/>
      <c r="J7" s="89"/>
      <c r="K7" s="89"/>
      <c r="L7" s="89">
        <f t="shared" ref="L7:L70" si="0">H7+I7+J7+K7</f>
        <v>4852.5</v>
      </c>
      <c r="M7" s="87">
        <f t="shared" ref="M7:M70" si="1">SUM(L7)</f>
        <v>4852.5</v>
      </c>
      <c r="N7" s="89"/>
      <c r="O7" s="89"/>
      <c r="P7" s="48">
        <v>40927</v>
      </c>
      <c r="Q7" s="48">
        <v>41048</v>
      </c>
      <c r="R7" s="49">
        <v>4846</v>
      </c>
    </row>
    <row r="8" spans="1:38" ht="38.25" x14ac:dyDescent="0.2">
      <c r="A8" s="45" t="s">
        <v>28</v>
      </c>
      <c r="B8" s="45">
        <v>24464</v>
      </c>
      <c r="C8" s="50" t="s">
        <v>19</v>
      </c>
      <c r="D8" s="50" t="s">
        <v>29</v>
      </c>
      <c r="E8" s="80" t="s">
        <v>21</v>
      </c>
      <c r="F8" s="81" t="s">
        <v>22</v>
      </c>
      <c r="G8" s="50" t="s">
        <v>30</v>
      </c>
      <c r="H8" s="88">
        <v>2872.5</v>
      </c>
      <c r="I8" s="88"/>
      <c r="J8" s="89"/>
      <c r="K8" s="89"/>
      <c r="L8" s="89">
        <f t="shared" si="0"/>
        <v>2872.5</v>
      </c>
      <c r="M8" s="87">
        <f t="shared" si="1"/>
        <v>2872.5</v>
      </c>
      <c r="N8" s="89"/>
      <c r="O8" s="89"/>
      <c r="P8" s="48">
        <v>40927</v>
      </c>
      <c r="Q8" s="48">
        <v>41048</v>
      </c>
      <c r="R8" s="49">
        <v>4832</v>
      </c>
    </row>
    <row r="9" spans="1:38" ht="38.25" x14ac:dyDescent="0.2">
      <c r="A9" s="45" t="s">
        <v>31</v>
      </c>
      <c r="B9" s="45">
        <v>24467</v>
      </c>
      <c r="C9" s="50" t="s">
        <v>19</v>
      </c>
      <c r="D9" s="50" t="s">
        <v>32</v>
      </c>
      <c r="E9" s="80" t="s">
        <v>21</v>
      </c>
      <c r="F9" s="81" t="s">
        <v>22</v>
      </c>
      <c r="G9" s="50" t="s">
        <v>33</v>
      </c>
      <c r="H9" s="88">
        <v>2872.5</v>
      </c>
      <c r="I9" s="88"/>
      <c r="J9" s="89"/>
      <c r="K9" s="89"/>
      <c r="L9" s="89">
        <f t="shared" si="0"/>
        <v>2872.5</v>
      </c>
      <c r="M9" s="87">
        <f t="shared" si="1"/>
        <v>2872.5</v>
      </c>
      <c r="N9" s="89"/>
      <c r="O9" s="89"/>
      <c r="P9" s="48">
        <v>40927</v>
      </c>
      <c r="Q9" s="48">
        <v>41048</v>
      </c>
      <c r="R9" s="49">
        <v>4809</v>
      </c>
    </row>
    <row r="10" spans="1:38" ht="38.25" x14ac:dyDescent="0.2">
      <c r="A10" s="45" t="s">
        <v>34</v>
      </c>
      <c r="B10" s="45">
        <v>24304</v>
      </c>
      <c r="C10" s="50" t="s">
        <v>35</v>
      </c>
      <c r="D10" s="50" t="s">
        <v>36</v>
      </c>
      <c r="E10" s="80" t="s">
        <v>21</v>
      </c>
      <c r="F10" s="50" t="s">
        <v>26</v>
      </c>
      <c r="G10" s="50" t="s">
        <v>37</v>
      </c>
      <c r="H10" s="88">
        <v>5238</v>
      </c>
      <c r="I10" s="88"/>
      <c r="J10" s="89"/>
      <c r="K10" s="89"/>
      <c r="L10" s="89">
        <f t="shared" si="0"/>
        <v>5238</v>
      </c>
      <c r="M10" s="87">
        <f t="shared" si="1"/>
        <v>5238</v>
      </c>
      <c r="N10" s="89"/>
      <c r="O10" s="89"/>
      <c r="P10" s="48" t="s">
        <v>38</v>
      </c>
      <c r="Q10" s="48">
        <v>41062</v>
      </c>
      <c r="R10" s="49">
        <v>4788</v>
      </c>
    </row>
    <row r="11" spans="1:38" ht="38.25" x14ac:dyDescent="0.2">
      <c r="A11" s="45" t="s">
        <v>39</v>
      </c>
      <c r="B11" s="45">
        <v>20407</v>
      </c>
      <c r="C11" s="50" t="s">
        <v>35</v>
      </c>
      <c r="D11" s="50" t="s">
        <v>40</v>
      </c>
      <c r="E11" s="80" t="s">
        <v>21</v>
      </c>
      <c r="F11" s="50" t="s">
        <v>26</v>
      </c>
      <c r="G11" s="50" t="s">
        <v>41</v>
      </c>
      <c r="H11" s="88">
        <v>4760</v>
      </c>
      <c r="I11" s="88"/>
      <c r="J11" s="89"/>
      <c r="K11" s="89"/>
      <c r="L11" s="89">
        <f t="shared" si="0"/>
        <v>4760</v>
      </c>
      <c r="M11" s="87">
        <f t="shared" si="1"/>
        <v>4760</v>
      </c>
      <c r="N11" s="89"/>
      <c r="O11" s="89"/>
      <c r="P11" s="48" t="s">
        <v>38</v>
      </c>
      <c r="Q11" s="48">
        <v>41062</v>
      </c>
      <c r="R11" s="49">
        <v>4641</v>
      </c>
    </row>
    <row r="12" spans="1:38" ht="38.25" x14ac:dyDescent="0.2">
      <c r="A12" s="45" t="s">
        <v>42</v>
      </c>
      <c r="B12" s="45">
        <v>21671</v>
      </c>
      <c r="C12" s="50" t="s">
        <v>43</v>
      </c>
      <c r="D12" s="50" t="s">
        <v>44</v>
      </c>
      <c r="E12" s="80" t="s">
        <v>21</v>
      </c>
      <c r="F12" s="50" t="s">
        <v>45</v>
      </c>
      <c r="G12" s="50" t="s">
        <v>46</v>
      </c>
      <c r="H12" s="88">
        <v>5348.8</v>
      </c>
      <c r="I12" s="88"/>
      <c r="J12" s="89"/>
      <c r="K12" s="89"/>
      <c r="L12" s="89">
        <f t="shared" si="0"/>
        <v>5348.8</v>
      </c>
      <c r="M12" s="87">
        <f t="shared" si="1"/>
        <v>5348.8</v>
      </c>
      <c r="N12" s="89"/>
      <c r="O12" s="89"/>
      <c r="P12" s="48" t="s">
        <v>38</v>
      </c>
      <c r="Q12" s="48">
        <v>41062</v>
      </c>
      <c r="R12" s="49">
        <v>3057</v>
      </c>
    </row>
    <row r="13" spans="1:38" ht="38.25" x14ac:dyDescent="0.2">
      <c r="A13" s="45" t="s">
        <v>47</v>
      </c>
      <c r="B13" s="45">
        <v>24460</v>
      </c>
      <c r="C13" s="50" t="s">
        <v>48</v>
      </c>
      <c r="D13" s="50" t="s">
        <v>49</v>
      </c>
      <c r="E13" s="80" t="s">
        <v>21</v>
      </c>
      <c r="F13" s="50" t="s">
        <v>26</v>
      </c>
      <c r="G13" s="50" t="s">
        <v>50</v>
      </c>
      <c r="H13" s="88">
        <v>4580</v>
      </c>
      <c r="I13" s="88"/>
      <c r="J13" s="89"/>
      <c r="K13" s="89"/>
      <c r="L13" s="89">
        <f t="shared" si="0"/>
        <v>4580</v>
      </c>
      <c r="M13" s="87">
        <f t="shared" si="1"/>
        <v>4580</v>
      </c>
      <c r="N13" s="89"/>
      <c r="O13" s="89"/>
      <c r="P13" s="48" t="s">
        <v>51</v>
      </c>
      <c r="Q13" s="48">
        <v>41030</v>
      </c>
      <c r="R13" s="49">
        <v>4626</v>
      </c>
    </row>
    <row r="14" spans="1:38" ht="38.25" x14ac:dyDescent="0.2">
      <c r="A14" s="45" t="s">
        <v>52</v>
      </c>
      <c r="B14" s="45">
        <v>21881</v>
      </c>
      <c r="C14" s="50" t="s">
        <v>53</v>
      </c>
      <c r="D14" s="50" t="s">
        <v>54</v>
      </c>
      <c r="E14" s="80" t="s">
        <v>21</v>
      </c>
      <c r="F14" s="50" t="s">
        <v>26</v>
      </c>
      <c r="G14" s="50" t="s">
        <v>55</v>
      </c>
      <c r="H14" s="88">
        <v>3372.5</v>
      </c>
      <c r="I14" s="88"/>
      <c r="J14" s="89"/>
      <c r="K14" s="89"/>
      <c r="L14" s="89">
        <f t="shared" si="0"/>
        <v>3372.5</v>
      </c>
      <c r="M14" s="87">
        <f t="shared" si="1"/>
        <v>3372.5</v>
      </c>
      <c r="N14" s="89"/>
      <c r="O14" s="89"/>
      <c r="P14" s="48" t="s">
        <v>51</v>
      </c>
      <c r="Q14" s="48">
        <v>41030</v>
      </c>
      <c r="R14" s="49">
        <v>4017</v>
      </c>
    </row>
    <row r="15" spans="1:38" ht="38.25" x14ac:dyDescent="0.2">
      <c r="A15" s="45" t="s">
        <v>56</v>
      </c>
      <c r="B15" s="45">
        <v>24377</v>
      </c>
      <c r="C15" s="50" t="s">
        <v>43</v>
      </c>
      <c r="D15" s="50" t="s">
        <v>57</v>
      </c>
      <c r="E15" s="80" t="s">
        <v>21</v>
      </c>
      <c r="F15" s="50" t="s">
        <v>45</v>
      </c>
      <c r="G15" s="50" t="s">
        <v>58</v>
      </c>
      <c r="H15" s="88">
        <v>3538</v>
      </c>
      <c r="I15" s="88"/>
      <c r="J15" s="89"/>
      <c r="K15" s="89"/>
      <c r="L15" s="89">
        <f t="shared" si="0"/>
        <v>3538</v>
      </c>
      <c r="M15" s="87">
        <f t="shared" si="1"/>
        <v>3538</v>
      </c>
      <c r="N15" s="89"/>
      <c r="O15" s="89"/>
      <c r="P15" s="48" t="s">
        <v>59</v>
      </c>
      <c r="Q15" s="48">
        <v>41182</v>
      </c>
      <c r="R15" s="49">
        <v>9050</v>
      </c>
    </row>
    <row r="16" spans="1:38" ht="25.5" x14ac:dyDescent="0.2">
      <c r="A16" s="45" t="s">
        <v>60</v>
      </c>
      <c r="B16" s="45">
        <v>21489</v>
      </c>
      <c r="C16" s="50" t="s">
        <v>43</v>
      </c>
      <c r="D16" s="50" t="s">
        <v>61</v>
      </c>
      <c r="E16" s="80" t="s">
        <v>62</v>
      </c>
      <c r="F16" s="50" t="s">
        <v>63</v>
      </c>
      <c r="G16" s="50" t="s">
        <v>64</v>
      </c>
      <c r="H16" s="88"/>
      <c r="I16" s="88">
        <v>10200</v>
      </c>
      <c r="J16" s="89"/>
      <c r="K16" s="89"/>
      <c r="L16" s="89">
        <f t="shared" si="0"/>
        <v>10200</v>
      </c>
      <c r="M16" s="87">
        <f t="shared" si="1"/>
        <v>10200</v>
      </c>
      <c r="N16" s="89"/>
      <c r="O16" s="89"/>
      <c r="P16" s="48" t="s">
        <v>51</v>
      </c>
      <c r="Q16" s="48">
        <v>41334</v>
      </c>
      <c r="R16" s="49">
        <v>9024</v>
      </c>
    </row>
    <row r="17" spans="1:38" ht="25.5" x14ac:dyDescent="0.2">
      <c r="A17" s="45" t="s">
        <v>65</v>
      </c>
      <c r="B17" s="45">
        <v>21543</v>
      </c>
      <c r="C17" s="50" t="s">
        <v>66</v>
      </c>
      <c r="D17" s="50" t="s">
        <v>67</v>
      </c>
      <c r="E17" s="80" t="s">
        <v>62</v>
      </c>
      <c r="F17" s="50" t="s">
        <v>63</v>
      </c>
      <c r="G17" s="50" t="s">
        <v>68</v>
      </c>
      <c r="H17" s="88"/>
      <c r="I17" s="88">
        <v>90000</v>
      </c>
      <c r="J17" s="89"/>
      <c r="K17" s="89"/>
      <c r="L17" s="89">
        <f t="shared" si="0"/>
        <v>90000</v>
      </c>
      <c r="M17" s="87">
        <f t="shared" si="1"/>
        <v>90000</v>
      </c>
      <c r="N17" s="89"/>
      <c r="O17" s="89"/>
      <c r="P17" s="48" t="s">
        <v>51</v>
      </c>
      <c r="Q17" s="48">
        <v>41334</v>
      </c>
      <c r="R17" s="49">
        <v>6158</v>
      </c>
    </row>
    <row r="18" spans="1:38" ht="38.25" x14ac:dyDescent="0.2">
      <c r="A18" s="45" t="s">
        <v>69</v>
      </c>
      <c r="B18" s="45">
        <v>19174</v>
      </c>
      <c r="C18" s="50" t="s">
        <v>43</v>
      </c>
      <c r="D18" s="50" t="s">
        <v>70</v>
      </c>
      <c r="E18" s="80" t="s">
        <v>21</v>
      </c>
      <c r="F18" s="50" t="s">
        <v>71</v>
      </c>
      <c r="G18" s="50" t="s">
        <v>72</v>
      </c>
      <c r="H18" s="88">
        <v>5973.06</v>
      </c>
      <c r="I18" s="88"/>
      <c r="J18" s="89"/>
      <c r="K18" s="89"/>
      <c r="L18" s="89">
        <f t="shared" si="0"/>
        <v>5973.06</v>
      </c>
      <c r="M18" s="87">
        <f t="shared" si="1"/>
        <v>5973.06</v>
      </c>
      <c r="N18" s="89"/>
      <c r="O18" s="89"/>
      <c r="P18" s="48" t="s">
        <v>73</v>
      </c>
      <c r="Q18" s="48">
        <v>41182</v>
      </c>
      <c r="R18" s="49">
        <v>9053</v>
      </c>
    </row>
    <row r="19" spans="1:38" s="6" customFormat="1" ht="38.25" x14ac:dyDescent="0.2">
      <c r="A19" s="45" t="s">
        <v>74</v>
      </c>
      <c r="B19" s="45">
        <v>24484</v>
      </c>
      <c r="C19" s="50" t="s">
        <v>43</v>
      </c>
      <c r="D19" s="50" t="s">
        <v>75</v>
      </c>
      <c r="E19" s="80" t="s">
        <v>21</v>
      </c>
      <c r="F19" s="50" t="s">
        <v>26</v>
      </c>
      <c r="G19" s="50" t="s">
        <v>76</v>
      </c>
      <c r="H19" s="88">
        <v>4608</v>
      </c>
      <c r="I19" s="88"/>
      <c r="J19" s="89"/>
      <c r="K19" s="89"/>
      <c r="L19" s="89">
        <f t="shared" si="0"/>
        <v>4608</v>
      </c>
      <c r="M19" s="87">
        <f t="shared" si="1"/>
        <v>4608</v>
      </c>
      <c r="N19" s="89"/>
      <c r="O19" s="89"/>
      <c r="P19" s="48" t="s">
        <v>77</v>
      </c>
      <c r="Q19" s="48">
        <v>41090</v>
      </c>
      <c r="R19" s="49">
        <v>9047</v>
      </c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  <row r="20" spans="1:38" ht="38.25" x14ac:dyDescent="0.2">
      <c r="A20" s="45" t="s">
        <v>78</v>
      </c>
      <c r="B20" s="45">
        <v>24539</v>
      </c>
      <c r="C20" s="50" t="s">
        <v>19</v>
      </c>
      <c r="D20" s="50" t="s">
        <v>79</v>
      </c>
      <c r="E20" s="80" t="s">
        <v>21</v>
      </c>
      <c r="F20" s="50" t="s">
        <v>22</v>
      </c>
      <c r="G20" s="50" t="s">
        <v>80</v>
      </c>
      <c r="H20" s="88">
        <v>3887</v>
      </c>
      <c r="I20" s="88"/>
      <c r="J20" s="89"/>
      <c r="K20" s="89"/>
      <c r="L20" s="89">
        <f t="shared" si="0"/>
        <v>3887</v>
      </c>
      <c r="M20" s="87">
        <f t="shared" si="1"/>
        <v>3887</v>
      </c>
      <c r="N20" s="89"/>
      <c r="O20" s="89"/>
      <c r="P20" s="48" t="s">
        <v>81</v>
      </c>
      <c r="Q20" s="48">
        <v>41091</v>
      </c>
      <c r="R20" s="49">
        <v>5264</v>
      </c>
    </row>
    <row r="21" spans="1:38" ht="38.25" x14ac:dyDescent="0.2">
      <c r="A21" s="45" t="s">
        <v>82</v>
      </c>
      <c r="B21" s="45">
        <v>24548</v>
      </c>
      <c r="C21" s="50" t="s">
        <v>19</v>
      </c>
      <c r="D21" s="50" t="s">
        <v>83</v>
      </c>
      <c r="E21" s="80" t="s">
        <v>21</v>
      </c>
      <c r="F21" s="50" t="s">
        <v>22</v>
      </c>
      <c r="G21" s="50" t="s">
        <v>84</v>
      </c>
      <c r="H21" s="88">
        <v>3887</v>
      </c>
      <c r="I21" s="88"/>
      <c r="J21" s="89"/>
      <c r="K21" s="89"/>
      <c r="L21" s="89">
        <f t="shared" si="0"/>
        <v>3887</v>
      </c>
      <c r="M21" s="87">
        <f t="shared" si="1"/>
        <v>3887</v>
      </c>
      <c r="N21" s="89"/>
      <c r="O21" s="89"/>
      <c r="P21" s="48" t="s">
        <v>81</v>
      </c>
      <c r="Q21" s="48">
        <v>41091</v>
      </c>
      <c r="R21" s="49">
        <v>5277</v>
      </c>
    </row>
    <row r="22" spans="1:38" ht="38.25" x14ac:dyDescent="0.2">
      <c r="A22" s="45" t="s">
        <v>85</v>
      </c>
      <c r="B22" s="45">
        <v>24488</v>
      </c>
      <c r="C22" s="50" t="s">
        <v>19</v>
      </c>
      <c r="D22" s="50" t="s">
        <v>86</v>
      </c>
      <c r="E22" s="80" t="s">
        <v>21</v>
      </c>
      <c r="F22" s="50" t="s">
        <v>87</v>
      </c>
      <c r="G22" s="50" t="s">
        <v>88</v>
      </c>
      <c r="H22" s="88">
        <v>4776.8999999999996</v>
      </c>
      <c r="I22" s="88"/>
      <c r="J22" s="89"/>
      <c r="K22" s="89"/>
      <c r="L22" s="89">
        <f t="shared" si="0"/>
        <v>4776.8999999999996</v>
      </c>
      <c r="M22" s="87">
        <f t="shared" si="1"/>
        <v>4776.8999999999996</v>
      </c>
      <c r="N22" s="89"/>
      <c r="O22" s="89"/>
      <c r="P22" s="48" t="s">
        <v>81</v>
      </c>
      <c r="Q22" s="48">
        <v>41091</v>
      </c>
      <c r="R22" s="49">
        <v>5232</v>
      </c>
    </row>
    <row r="23" spans="1:38" ht="51" x14ac:dyDescent="0.2">
      <c r="A23" s="45" t="s">
        <v>89</v>
      </c>
      <c r="B23" s="45">
        <v>23233</v>
      </c>
      <c r="C23" s="50" t="s">
        <v>19</v>
      </c>
      <c r="D23" s="50" t="s">
        <v>90</v>
      </c>
      <c r="E23" s="80" t="s">
        <v>21</v>
      </c>
      <c r="F23" s="50" t="s">
        <v>87</v>
      </c>
      <c r="G23" s="50" t="s">
        <v>91</v>
      </c>
      <c r="H23" s="88">
        <v>4481.2700000000004</v>
      </c>
      <c r="I23" s="88"/>
      <c r="J23" s="89"/>
      <c r="K23" s="89"/>
      <c r="L23" s="89">
        <f t="shared" si="0"/>
        <v>4481.2700000000004</v>
      </c>
      <c r="M23" s="87">
        <f t="shared" si="1"/>
        <v>4481.2700000000004</v>
      </c>
      <c r="N23" s="89"/>
      <c r="O23" s="89"/>
      <c r="P23" s="48" t="s">
        <v>81</v>
      </c>
      <c r="Q23" s="48">
        <v>41091</v>
      </c>
      <c r="R23" s="49">
        <v>5269</v>
      </c>
    </row>
    <row r="24" spans="1:38" ht="38.25" x14ac:dyDescent="0.2">
      <c r="A24" s="45" t="s">
        <v>92</v>
      </c>
      <c r="B24" s="45">
        <v>23521</v>
      </c>
      <c r="C24" s="50" t="s">
        <v>19</v>
      </c>
      <c r="D24" s="50" t="s">
        <v>93</v>
      </c>
      <c r="E24" s="80" t="s">
        <v>21</v>
      </c>
      <c r="F24" s="50" t="s">
        <v>94</v>
      </c>
      <c r="G24" s="50" t="s">
        <v>95</v>
      </c>
      <c r="H24" s="88">
        <v>1700</v>
      </c>
      <c r="I24" s="88"/>
      <c r="J24" s="89"/>
      <c r="K24" s="89"/>
      <c r="L24" s="89">
        <f t="shared" si="0"/>
        <v>1700</v>
      </c>
      <c r="M24" s="87">
        <f t="shared" si="1"/>
        <v>1700</v>
      </c>
      <c r="N24" s="89"/>
      <c r="O24" s="89"/>
      <c r="P24" s="48" t="s">
        <v>81</v>
      </c>
      <c r="Q24" s="48">
        <v>41091</v>
      </c>
      <c r="R24" s="49">
        <v>5225</v>
      </c>
    </row>
    <row r="25" spans="1:38" ht="38.25" x14ac:dyDescent="0.2">
      <c r="A25" s="45" t="s">
        <v>96</v>
      </c>
      <c r="B25" s="45">
        <v>24526</v>
      </c>
      <c r="C25" s="50" t="s">
        <v>35</v>
      </c>
      <c r="D25" s="50" t="s">
        <v>97</v>
      </c>
      <c r="E25" s="80" t="s">
        <v>21</v>
      </c>
      <c r="F25" s="50" t="s">
        <v>98</v>
      </c>
      <c r="G25" s="50" t="s">
        <v>99</v>
      </c>
      <c r="H25" s="88">
        <v>4939.2</v>
      </c>
      <c r="I25" s="88"/>
      <c r="J25" s="89"/>
      <c r="K25" s="89"/>
      <c r="L25" s="89">
        <f t="shared" si="0"/>
        <v>4939.2</v>
      </c>
      <c r="M25" s="87">
        <f t="shared" si="1"/>
        <v>4939.2</v>
      </c>
      <c r="N25" s="89"/>
      <c r="O25" s="89"/>
      <c r="P25" s="48" t="s">
        <v>81</v>
      </c>
      <c r="Q25" s="48">
        <v>41091</v>
      </c>
      <c r="R25" s="49">
        <v>5211</v>
      </c>
    </row>
    <row r="26" spans="1:38" ht="38.25" x14ac:dyDescent="0.2">
      <c r="A26" s="45" t="s">
        <v>100</v>
      </c>
      <c r="B26" s="45">
        <v>24524</v>
      </c>
      <c r="C26" s="50" t="s">
        <v>35</v>
      </c>
      <c r="D26" s="50" t="s">
        <v>101</v>
      </c>
      <c r="E26" s="80" t="s">
        <v>21</v>
      </c>
      <c r="F26" s="50" t="s">
        <v>22</v>
      </c>
      <c r="G26" s="50" t="s">
        <v>102</v>
      </c>
      <c r="H26" s="88">
        <v>4362.6000000000004</v>
      </c>
      <c r="I26" s="88"/>
      <c r="J26" s="89"/>
      <c r="K26" s="89"/>
      <c r="L26" s="89">
        <f t="shared" si="0"/>
        <v>4362.6000000000004</v>
      </c>
      <c r="M26" s="87">
        <f t="shared" si="1"/>
        <v>4362.6000000000004</v>
      </c>
      <c r="N26" s="89"/>
      <c r="O26" s="89"/>
      <c r="P26" s="48" t="s">
        <v>81</v>
      </c>
      <c r="Q26" s="48">
        <v>41091</v>
      </c>
      <c r="R26" s="49">
        <v>5088</v>
      </c>
    </row>
    <row r="27" spans="1:38" ht="38.25" x14ac:dyDescent="0.2">
      <c r="A27" s="45" t="s">
        <v>103</v>
      </c>
      <c r="B27" s="45">
        <v>24441</v>
      </c>
      <c r="C27" s="50" t="s">
        <v>35</v>
      </c>
      <c r="D27" s="50" t="s">
        <v>104</v>
      </c>
      <c r="E27" s="80" t="s">
        <v>21</v>
      </c>
      <c r="F27" s="50" t="s">
        <v>26</v>
      </c>
      <c r="G27" s="50" t="s">
        <v>105</v>
      </c>
      <c r="H27" s="88">
        <v>5295.2</v>
      </c>
      <c r="I27" s="88"/>
      <c r="J27" s="89"/>
      <c r="K27" s="89"/>
      <c r="L27" s="89">
        <f t="shared" si="0"/>
        <v>5295.2</v>
      </c>
      <c r="M27" s="87">
        <f t="shared" si="1"/>
        <v>5295.2</v>
      </c>
      <c r="N27" s="89"/>
      <c r="O27" s="89"/>
      <c r="P27" s="48" t="s">
        <v>81</v>
      </c>
      <c r="Q27" s="48">
        <v>41091</v>
      </c>
      <c r="R27" s="49">
        <v>5096</v>
      </c>
    </row>
    <row r="28" spans="1:38" ht="38.25" x14ac:dyDescent="0.2">
      <c r="A28" s="45" t="s">
        <v>106</v>
      </c>
      <c r="B28" s="45">
        <v>22810</v>
      </c>
      <c r="C28" s="50" t="s">
        <v>107</v>
      </c>
      <c r="D28" s="50" t="s">
        <v>108</v>
      </c>
      <c r="E28" s="80" t="s">
        <v>21</v>
      </c>
      <c r="F28" s="50" t="s">
        <v>109</v>
      </c>
      <c r="G28" s="50" t="s">
        <v>110</v>
      </c>
      <c r="H28" s="88">
        <v>2340</v>
      </c>
      <c r="I28" s="88"/>
      <c r="J28" s="89"/>
      <c r="K28" s="89"/>
      <c r="L28" s="89">
        <f t="shared" si="0"/>
        <v>2340</v>
      </c>
      <c r="M28" s="87">
        <f t="shared" si="1"/>
        <v>2340</v>
      </c>
      <c r="N28" s="89"/>
      <c r="O28" s="89"/>
      <c r="P28" s="48" t="s">
        <v>111</v>
      </c>
      <c r="Q28" s="48">
        <v>41095</v>
      </c>
      <c r="R28" s="49">
        <v>5804</v>
      </c>
    </row>
    <row r="29" spans="1:38" ht="38.25" x14ac:dyDescent="0.2">
      <c r="A29" s="45" t="s">
        <v>112</v>
      </c>
      <c r="B29" s="45">
        <v>21616</v>
      </c>
      <c r="C29" s="50" t="s">
        <v>113</v>
      </c>
      <c r="D29" s="50" t="s">
        <v>114</v>
      </c>
      <c r="E29" s="80" t="s">
        <v>21</v>
      </c>
      <c r="F29" s="50" t="s">
        <v>71</v>
      </c>
      <c r="G29" s="50" t="s">
        <v>115</v>
      </c>
      <c r="H29" s="88">
        <v>1557.6</v>
      </c>
      <c r="I29" s="88"/>
      <c r="J29" s="89"/>
      <c r="K29" s="89"/>
      <c r="L29" s="89">
        <f t="shared" si="0"/>
        <v>1557.6</v>
      </c>
      <c r="M29" s="87">
        <f t="shared" si="1"/>
        <v>1557.6</v>
      </c>
      <c r="N29" s="89"/>
      <c r="O29" s="89"/>
      <c r="P29" s="48" t="s">
        <v>81</v>
      </c>
      <c r="Q29" s="48">
        <v>41091</v>
      </c>
      <c r="R29" s="49">
        <v>5255</v>
      </c>
    </row>
    <row r="30" spans="1:38" ht="51" x14ac:dyDescent="0.2">
      <c r="A30" s="45" t="s">
        <v>116</v>
      </c>
      <c r="B30" s="45">
        <v>22603</v>
      </c>
      <c r="C30" s="50" t="s">
        <v>113</v>
      </c>
      <c r="D30" s="50" t="s">
        <v>117</v>
      </c>
      <c r="E30" s="80" t="s">
        <v>21</v>
      </c>
      <c r="F30" s="50" t="s">
        <v>63</v>
      </c>
      <c r="G30" s="50" t="s">
        <v>118</v>
      </c>
      <c r="H30" s="88">
        <v>2060</v>
      </c>
      <c r="I30" s="88"/>
      <c r="J30" s="89"/>
      <c r="K30" s="89"/>
      <c r="L30" s="89">
        <f t="shared" si="0"/>
        <v>2060</v>
      </c>
      <c r="M30" s="87">
        <f t="shared" si="1"/>
        <v>2060</v>
      </c>
      <c r="N30" s="89"/>
      <c r="O30" s="89"/>
      <c r="P30" s="48" t="s">
        <v>81</v>
      </c>
      <c r="Q30" s="48">
        <v>41091</v>
      </c>
      <c r="R30" s="49">
        <v>5239</v>
      </c>
    </row>
    <row r="31" spans="1:38" ht="51" x14ac:dyDescent="0.2">
      <c r="A31" s="45" t="s">
        <v>119</v>
      </c>
      <c r="B31" s="45">
        <v>14517</v>
      </c>
      <c r="C31" s="50" t="s">
        <v>66</v>
      </c>
      <c r="D31" s="50" t="s">
        <v>120</v>
      </c>
      <c r="E31" s="80" t="s">
        <v>21</v>
      </c>
      <c r="F31" s="50" t="s">
        <v>121</v>
      </c>
      <c r="G31" s="50" t="s">
        <v>122</v>
      </c>
      <c r="H31" s="88">
        <v>3526</v>
      </c>
      <c r="I31" s="88"/>
      <c r="J31" s="89"/>
      <c r="K31" s="89"/>
      <c r="L31" s="89">
        <f t="shared" si="0"/>
        <v>3526</v>
      </c>
      <c r="M31" s="87">
        <f t="shared" si="1"/>
        <v>3526</v>
      </c>
      <c r="N31" s="89"/>
      <c r="O31" s="89"/>
      <c r="P31" s="48" t="s">
        <v>123</v>
      </c>
      <c r="Q31" s="48">
        <v>41088</v>
      </c>
      <c r="R31" s="49">
        <v>5272</v>
      </c>
    </row>
    <row r="32" spans="1:38" ht="38.25" x14ac:dyDescent="0.2">
      <c r="A32" s="45" t="s">
        <v>124</v>
      </c>
      <c r="B32" s="45">
        <v>21512</v>
      </c>
      <c r="C32" s="50" t="s">
        <v>35</v>
      </c>
      <c r="D32" s="50" t="s">
        <v>125</v>
      </c>
      <c r="E32" s="80" t="s">
        <v>62</v>
      </c>
      <c r="F32" s="50" t="s">
        <v>63</v>
      </c>
      <c r="G32" s="50" t="s">
        <v>68</v>
      </c>
      <c r="H32" s="88"/>
      <c r="I32" s="88">
        <v>48000</v>
      </c>
      <c r="J32" s="89"/>
      <c r="K32" s="89"/>
      <c r="L32" s="89">
        <f t="shared" si="0"/>
        <v>48000</v>
      </c>
      <c r="M32" s="87">
        <f t="shared" si="1"/>
        <v>48000</v>
      </c>
      <c r="N32" s="89"/>
      <c r="O32" s="89"/>
      <c r="P32" s="48" t="s">
        <v>81</v>
      </c>
      <c r="Q32" s="48">
        <v>41365</v>
      </c>
      <c r="R32" s="49">
        <v>5219</v>
      </c>
    </row>
    <row r="33" spans="1:18" ht="25.5" x14ac:dyDescent="0.2">
      <c r="A33" s="45" t="s">
        <v>126</v>
      </c>
      <c r="B33" s="45">
        <v>24082</v>
      </c>
      <c r="C33" s="50" t="s">
        <v>127</v>
      </c>
      <c r="D33" s="50" t="s">
        <v>128</v>
      </c>
      <c r="E33" s="80" t="s">
        <v>129</v>
      </c>
      <c r="F33" s="81" t="s">
        <v>98</v>
      </c>
      <c r="G33" s="50" t="s">
        <v>130</v>
      </c>
      <c r="H33" s="88"/>
      <c r="I33" s="88"/>
      <c r="J33" s="89"/>
      <c r="K33" s="89">
        <v>46347</v>
      </c>
      <c r="L33" s="89">
        <f t="shared" si="0"/>
        <v>46347</v>
      </c>
      <c r="M33" s="87">
        <f t="shared" si="1"/>
        <v>46347</v>
      </c>
      <c r="N33" s="89"/>
      <c r="O33" s="89"/>
      <c r="P33" s="48" t="s">
        <v>131</v>
      </c>
      <c r="Q33" s="48">
        <v>41345</v>
      </c>
      <c r="R33" s="49">
        <v>6614</v>
      </c>
    </row>
    <row r="34" spans="1:18" ht="25.5" x14ac:dyDescent="0.2">
      <c r="A34" s="45" t="s">
        <v>132</v>
      </c>
      <c r="B34" s="45">
        <v>22602</v>
      </c>
      <c r="C34" s="50" t="s">
        <v>35</v>
      </c>
      <c r="D34" s="50" t="s">
        <v>133</v>
      </c>
      <c r="E34" s="80" t="s">
        <v>129</v>
      </c>
      <c r="F34" s="50" t="s">
        <v>63</v>
      </c>
      <c r="G34" s="50" t="s">
        <v>134</v>
      </c>
      <c r="H34" s="88"/>
      <c r="I34" s="88"/>
      <c r="J34" s="89"/>
      <c r="K34" s="89">
        <v>196500</v>
      </c>
      <c r="L34" s="89">
        <f t="shared" si="0"/>
        <v>196500</v>
      </c>
      <c r="M34" s="87">
        <f t="shared" si="1"/>
        <v>196500</v>
      </c>
      <c r="N34" s="89"/>
      <c r="O34" s="89"/>
      <c r="P34" s="48" t="s">
        <v>131</v>
      </c>
      <c r="Q34" s="48">
        <v>41345</v>
      </c>
      <c r="R34" s="49">
        <v>6618</v>
      </c>
    </row>
    <row r="35" spans="1:18" ht="38.25" x14ac:dyDescent="0.2">
      <c r="A35" s="45" t="s">
        <v>135</v>
      </c>
      <c r="B35" s="45">
        <v>24110</v>
      </c>
      <c r="C35" s="50" t="s">
        <v>66</v>
      </c>
      <c r="D35" s="50" t="s">
        <v>136</v>
      </c>
      <c r="E35" s="80" t="s">
        <v>129</v>
      </c>
      <c r="F35" s="50" t="s">
        <v>63</v>
      </c>
      <c r="G35" s="50" t="s">
        <v>137</v>
      </c>
      <c r="H35" s="88"/>
      <c r="I35" s="88"/>
      <c r="J35" s="89"/>
      <c r="K35" s="89">
        <v>149993</v>
      </c>
      <c r="L35" s="89">
        <f t="shared" si="0"/>
        <v>149993</v>
      </c>
      <c r="M35" s="87">
        <f t="shared" si="1"/>
        <v>149993</v>
      </c>
      <c r="N35" s="89"/>
      <c r="O35" s="89"/>
      <c r="P35" s="48" t="s">
        <v>138</v>
      </c>
      <c r="Q35" s="48">
        <v>41354</v>
      </c>
      <c r="R35" s="49">
        <v>6671</v>
      </c>
    </row>
    <row r="36" spans="1:18" ht="38.25" x14ac:dyDescent="0.2">
      <c r="A36" s="46" t="s">
        <v>139</v>
      </c>
      <c r="B36" s="46">
        <v>4318</v>
      </c>
      <c r="C36" s="80" t="s">
        <v>43</v>
      </c>
      <c r="D36" s="80" t="s">
        <v>140</v>
      </c>
      <c r="E36" s="80" t="s">
        <v>141</v>
      </c>
      <c r="F36" s="80" t="s">
        <v>45</v>
      </c>
      <c r="G36" s="80" t="s">
        <v>142</v>
      </c>
      <c r="H36" s="88">
        <v>49999.88</v>
      </c>
      <c r="I36" s="88"/>
      <c r="J36" s="89"/>
      <c r="K36" s="89"/>
      <c r="L36" s="89">
        <f t="shared" si="0"/>
        <v>49999.88</v>
      </c>
      <c r="M36" s="87">
        <f t="shared" si="1"/>
        <v>49999.88</v>
      </c>
      <c r="N36" s="89"/>
      <c r="O36" s="89"/>
      <c r="P36" s="51">
        <v>41057</v>
      </c>
      <c r="Q36" s="48">
        <v>42004</v>
      </c>
      <c r="R36" s="49">
        <v>9205</v>
      </c>
    </row>
    <row r="37" spans="1:18" ht="25.5" x14ac:dyDescent="0.2">
      <c r="A37" s="45" t="s">
        <v>143</v>
      </c>
      <c r="B37" s="45">
        <v>24617</v>
      </c>
      <c r="C37" s="50" t="s">
        <v>43</v>
      </c>
      <c r="D37" s="50" t="s">
        <v>144</v>
      </c>
      <c r="E37" s="80" t="s">
        <v>141</v>
      </c>
      <c r="F37" s="50" t="s">
        <v>98</v>
      </c>
      <c r="G37" s="50" t="s">
        <v>145</v>
      </c>
      <c r="H37" s="88">
        <v>49500</v>
      </c>
      <c r="I37" s="88"/>
      <c r="J37" s="89"/>
      <c r="K37" s="89"/>
      <c r="L37" s="89">
        <f t="shared" si="0"/>
        <v>49500</v>
      </c>
      <c r="M37" s="87">
        <f t="shared" si="1"/>
        <v>49500</v>
      </c>
      <c r="N37" s="89"/>
      <c r="O37" s="89"/>
      <c r="P37" s="48" t="s">
        <v>146</v>
      </c>
      <c r="Q37" s="48">
        <v>41942</v>
      </c>
      <c r="R37" s="49">
        <v>9089</v>
      </c>
    </row>
    <row r="38" spans="1:18" ht="38.25" x14ac:dyDescent="0.2">
      <c r="A38" s="45" t="s">
        <v>147</v>
      </c>
      <c r="B38" s="45">
        <v>11017</v>
      </c>
      <c r="C38" s="50" t="s">
        <v>43</v>
      </c>
      <c r="D38" s="50" t="s">
        <v>148</v>
      </c>
      <c r="E38" s="80" t="s">
        <v>141</v>
      </c>
      <c r="F38" s="50" t="s">
        <v>71</v>
      </c>
      <c r="G38" s="50" t="s">
        <v>149</v>
      </c>
      <c r="H38" s="88">
        <v>50000</v>
      </c>
      <c r="I38" s="88"/>
      <c r="J38" s="89"/>
      <c r="K38" s="89"/>
      <c r="L38" s="89">
        <f t="shared" si="0"/>
        <v>50000</v>
      </c>
      <c r="M38" s="87">
        <f t="shared" si="1"/>
        <v>50000</v>
      </c>
      <c r="N38" s="89"/>
      <c r="O38" s="89"/>
      <c r="P38" s="48" t="s">
        <v>146</v>
      </c>
      <c r="Q38" s="48">
        <v>42003</v>
      </c>
      <c r="R38" s="49">
        <v>9107</v>
      </c>
    </row>
    <row r="39" spans="1:18" ht="51" x14ac:dyDescent="0.2">
      <c r="A39" s="45" t="s">
        <v>150</v>
      </c>
      <c r="B39" s="45">
        <v>24633</v>
      </c>
      <c r="C39" s="50" t="s">
        <v>43</v>
      </c>
      <c r="D39" s="50" t="s">
        <v>151</v>
      </c>
      <c r="E39" s="80" t="s">
        <v>141</v>
      </c>
      <c r="F39" s="50" t="s">
        <v>94</v>
      </c>
      <c r="G39" s="50" t="s">
        <v>152</v>
      </c>
      <c r="H39" s="88">
        <v>50000</v>
      </c>
      <c r="I39" s="88"/>
      <c r="J39" s="89"/>
      <c r="K39" s="89"/>
      <c r="L39" s="89">
        <f t="shared" si="0"/>
        <v>50000</v>
      </c>
      <c r="M39" s="87">
        <f t="shared" si="1"/>
        <v>50000</v>
      </c>
      <c r="N39" s="89"/>
      <c r="O39" s="89"/>
      <c r="P39" s="48" t="s">
        <v>146</v>
      </c>
      <c r="Q39" s="48">
        <v>41366</v>
      </c>
      <c r="R39" s="49">
        <v>9087</v>
      </c>
    </row>
    <row r="40" spans="1:18" ht="25.5" x14ac:dyDescent="0.2">
      <c r="A40" s="45" t="s">
        <v>153</v>
      </c>
      <c r="B40" s="45">
        <v>24684</v>
      </c>
      <c r="C40" s="50" t="s">
        <v>43</v>
      </c>
      <c r="D40" s="50" t="s">
        <v>154</v>
      </c>
      <c r="E40" s="80" t="s">
        <v>141</v>
      </c>
      <c r="F40" s="50" t="s">
        <v>98</v>
      </c>
      <c r="G40" s="50" t="s">
        <v>155</v>
      </c>
      <c r="H40" s="88">
        <v>50000</v>
      </c>
      <c r="I40" s="88"/>
      <c r="J40" s="89"/>
      <c r="K40" s="89"/>
      <c r="L40" s="89">
        <f t="shared" si="0"/>
        <v>50000</v>
      </c>
      <c r="M40" s="87">
        <f t="shared" si="1"/>
        <v>50000</v>
      </c>
      <c r="N40" s="89"/>
      <c r="O40" s="89"/>
      <c r="P40" s="48" t="s">
        <v>146</v>
      </c>
      <c r="Q40" s="48">
        <v>42004</v>
      </c>
      <c r="R40" s="49">
        <v>9088</v>
      </c>
    </row>
    <row r="41" spans="1:18" ht="38.25" x14ac:dyDescent="0.2">
      <c r="A41" s="45" t="s">
        <v>156</v>
      </c>
      <c r="B41" s="45">
        <v>24634</v>
      </c>
      <c r="C41" s="50" t="s">
        <v>43</v>
      </c>
      <c r="D41" s="50" t="s">
        <v>157</v>
      </c>
      <c r="E41" s="80" t="s">
        <v>141</v>
      </c>
      <c r="F41" s="50" t="s">
        <v>109</v>
      </c>
      <c r="G41" s="50" t="s">
        <v>158</v>
      </c>
      <c r="H41" s="88">
        <v>50000</v>
      </c>
      <c r="I41" s="88"/>
      <c r="J41" s="89"/>
      <c r="K41" s="89"/>
      <c r="L41" s="89">
        <f t="shared" si="0"/>
        <v>50000</v>
      </c>
      <c r="M41" s="87">
        <f t="shared" si="1"/>
        <v>50000</v>
      </c>
      <c r="N41" s="89"/>
      <c r="O41" s="89"/>
      <c r="P41" s="48" t="s">
        <v>146</v>
      </c>
      <c r="Q41" s="48">
        <v>42004</v>
      </c>
      <c r="R41" s="49">
        <v>9093</v>
      </c>
    </row>
    <row r="42" spans="1:18" ht="38.25" x14ac:dyDescent="0.2">
      <c r="A42" s="45" t="s">
        <v>159</v>
      </c>
      <c r="B42" s="45">
        <v>24705</v>
      </c>
      <c r="C42" s="50" t="s">
        <v>43</v>
      </c>
      <c r="D42" s="50" t="s">
        <v>160</v>
      </c>
      <c r="E42" s="80" t="s">
        <v>141</v>
      </c>
      <c r="F42" s="50" t="s">
        <v>63</v>
      </c>
      <c r="G42" s="50" t="s">
        <v>161</v>
      </c>
      <c r="H42" s="88">
        <v>50000</v>
      </c>
      <c r="I42" s="88"/>
      <c r="J42" s="89"/>
      <c r="K42" s="89"/>
      <c r="L42" s="89">
        <f t="shared" si="0"/>
        <v>50000</v>
      </c>
      <c r="M42" s="87">
        <f t="shared" si="1"/>
        <v>50000</v>
      </c>
      <c r="N42" s="89"/>
      <c r="O42" s="89"/>
      <c r="P42" s="48">
        <v>41087</v>
      </c>
      <c r="Q42" s="48">
        <v>42004</v>
      </c>
      <c r="R42" s="49">
        <v>10534</v>
      </c>
    </row>
    <row r="43" spans="1:18" ht="38.25" x14ac:dyDescent="0.2">
      <c r="A43" s="45" t="s">
        <v>162</v>
      </c>
      <c r="B43" s="45">
        <v>24624</v>
      </c>
      <c r="C43" s="50" t="s">
        <v>43</v>
      </c>
      <c r="D43" s="50" t="s">
        <v>163</v>
      </c>
      <c r="E43" s="80" t="s">
        <v>141</v>
      </c>
      <c r="F43" s="50" t="s">
        <v>63</v>
      </c>
      <c r="G43" s="50" t="s">
        <v>164</v>
      </c>
      <c r="H43" s="88">
        <v>49980</v>
      </c>
      <c r="I43" s="88"/>
      <c r="J43" s="89"/>
      <c r="K43" s="89"/>
      <c r="L43" s="89">
        <f t="shared" si="0"/>
        <v>49980</v>
      </c>
      <c r="M43" s="87">
        <f t="shared" si="1"/>
        <v>49980</v>
      </c>
      <c r="N43" s="89"/>
      <c r="O43" s="89"/>
      <c r="P43" s="48" t="s">
        <v>146</v>
      </c>
      <c r="Q43" s="48">
        <v>41366</v>
      </c>
      <c r="R43" s="49">
        <v>9079</v>
      </c>
    </row>
    <row r="44" spans="1:18" ht="38.25" x14ac:dyDescent="0.2">
      <c r="A44" s="45" t="s">
        <v>165</v>
      </c>
      <c r="B44" s="45">
        <v>24676</v>
      </c>
      <c r="C44" s="50" t="s">
        <v>35</v>
      </c>
      <c r="D44" s="50" t="s">
        <v>166</v>
      </c>
      <c r="E44" s="80" t="s">
        <v>141</v>
      </c>
      <c r="F44" s="50" t="s">
        <v>167</v>
      </c>
      <c r="G44" s="50" t="s">
        <v>168</v>
      </c>
      <c r="H44" s="88">
        <v>50000</v>
      </c>
      <c r="I44" s="88"/>
      <c r="J44" s="89"/>
      <c r="K44" s="89"/>
      <c r="L44" s="89">
        <f t="shared" si="0"/>
        <v>50000</v>
      </c>
      <c r="M44" s="87">
        <f t="shared" si="1"/>
        <v>50000</v>
      </c>
      <c r="N44" s="89"/>
      <c r="O44" s="89"/>
      <c r="P44" s="48" t="s">
        <v>146</v>
      </c>
      <c r="Q44" s="48">
        <v>42004</v>
      </c>
      <c r="R44" s="49">
        <v>7439</v>
      </c>
    </row>
    <row r="45" spans="1:18" ht="25.5" x14ac:dyDescent="0.2">
      <c r="A45" s="45" t="s">
        <v>169</v>
      </c>
      <c r="B45" s="45">
        <v>24638</v>
      </c>
      <c r="C45" s="50" t="s">
        <v>35</v>
      </c>
      <c r="D45" s="50" t="s">
        <v>170</v>
      </c>
      <c r="E45" s="80" t="s">
        <v>141</v>
      </c>
      <c r="F45" s="50" t="s">
        <v>94</v>
      </c>
      <c r="G45" s="50" t="s">
        <v>171</v>
      </c>
      <c r="H45" s="88">
        <v>50000</v>
      </c>
      <c r="I45" s="88"/>
      <c r="J45" s="89"/>
      <c r="K45" s="89"/>
      <c r="L45" s="89">
        <f t="shared" si="0"/>
        <v>50000</v>
      </c>
      <c r="M45" s="87">
        <f t="shared" si="1"/>
        <v>50000</v>
      </c>
      <c r="N45" s="89"/>
      <c r="O45" s="89"/>
      <c r="P45" s="48" t="s">
        <v>146</v>
      </c>
      <c r="Q45" s="48">
        <v>42004</v>
      </c>
      <c r="R45" s="49">
        <v>7592</v>
      </c>
    </row>
    <row r="46" spans="1:18" ht="63.75" x14ac:dyDescent="0.2">
      <c r="A46" s="45" t="s">
        <v>172</v>
      </c>
      <c r="B46" s="45">
        <v>24595</v>
      </c>
      <c r="C46" s="50" t="s">
        <v>19</v>
      </c>
      <c r="D46" s="50" t="s">
        <v>173</v>
      </c>
      <c r="E46" s="80" t="s">
        <v>141</v>
      </c>
      <c r="F46" s="81" t="s">
        <v>109</v>
      </c>
      <c r="G46" s="50" t="s">
        <v>174</v>
      </c>
      <c r="H46" s="88">
        <v>49990</v>
      </c>
      <c r="I46" s="88"/>
      <c r="J46" s="89"/>
      <c r="K46" s="89"/>
      <c r="L46" s="89">
        <f t="shared" si="0"/>
        <v>49990</v>
      </c>
      <c r="M46" s="87">
        <f t="shared" si="1"/>
        <v>49990</v>
      </c>
      <c r="N46" s="89"/>
      <c r="O46" s="89"/>
      <c r="P46" s="48" t="s">
        <v>146</v>
      </c>
      <c r="Q46" s="48">
        <v>41366</v>
      </c>
      <c r="R46" s="49">
        <v>7567</v>
      </c>
    </row>
    <row r="47" spans="1:18" ht="38.25" x14ac:dyDescent="0.2">
      <c r="A47" s="45" t="s">
        <v>175</v>
      </c>
      <c r="B47" s="45">
        <v>24635</v>
      </c>
      <c r="C47" s="50" t="s">
        <v>35</v>
      </c>
      <c r="D47" s="50" t="s">
        <v>176</v>
      </c>
      <c r="E47" s="80" t="s">
        <v>141</v>
      </c>
      <c r="F47" s="50" t="s">
        <v>26</v>
      </c>
      <c r="G47" s="50" t="s">
        <v>177</v>
      </c>
      <c r="H47" s="88">
        <v>49770</v>
      </c>
      <c r="I47" s="88"/>
      <c r="J47" s="89"/>
      <c r="K47" s="89"/>
      <c r="L47" s="89">
        <f t="shared" si="0"/>
        <v>49770</v>
      </c>
      <c r="M47" s="87">
        <f t="shared" si="1"/>
        <v>49770</v>
      </c>
      <c r="N47" s="89"/>
      <c r="O47" s="89"/>
      <c r="P47" s="48" t="s">
        <v>146</v>
      </c>
      <c r="Q47" s="48">
        <v>41366</v>
      </c>
      <c r="R47" s="49">
        <v>7564</v>
      </c>
    </row>
    <row r="48" spans="1:18" ht="51" x14ac:dyDescent="0.2">
      <c r="A48" s="45" t="s">
        <v>178</v>
      </c>
      <c r="B48" s="45">
        <v>24713</v>
      </c>
      <c r="C48" s="50" t="s">
        <v>19</v>
      </c>
      <c r="D48" s="50" t="s">
        <v>179</v>
      </c>
      <c r="E48" s="80" t="s">
        <v>141</v>
      </c>
      <c r="F48" s="81" t="s">
        <v>167</v>
      </c>
      <c r="G48" s="50" t="s">
        <v>180</v>
      </c>
      <c r="H48" s="88">
        <v>50000</v>
      </c>
      <c r="I48" s="88"/>
      <c r="J48" s="89"/>
      <c r="K48" s="89"/>
      <c r="L48" s="89">
        <f t="shared" si="0"/>
        <v>50000</v>
      </c>
      <c r="M48" s="87">
        <f t="shared" si="1"/>
        <v>50000</v>
      </c>
      <c r="N48" s="89"/>
      <c r="O48" s="89"/>
      <c r="P48" s="48" t="s">
        <v>146</v>
      </c>
      <c r="Q48" s="48">
        <v>41366</v>
      </c>
      <c r="R48" s="49">
        <v>7561</v>
      </c>
    </row>
    <row r="49" spans="1:18" ht="25.5" x14ac:dyDescent="0.2">
      <c r="A49" s="46" t="s">
        <v>181</v>
      </c>
      <c r="B49" s="52">
        <v>9858</v>
      </c>
      <c r="C49" s="80" t="s">
        <v>43</v>
      </c>
      <c r="D49" s="80" t="s">
        <v>182</v>
      </c>
      <c r="E49" s="80" t="s">
        <v>141</v>
      </c>
      <c r="F49" s="80" t="s">
        <v>87</v>
      </c>
      <c r="G49" s="80" t="s">
        <v>183</v>
      </c>
      <c r="H49" s="88">
        <v>50000</v>
      </c>
      <c r="I49" s="88"/>
      <c r="J49" s="89"/>
      <c r="K49" s="89"/>
      <c r="L49" s="89">
        <f t="shared" si="0"/>
        <v>50000</v>
      </c>
      <c r="M49" s="87">
        <f t="shared" si="1"/>
        <v>50000</v>
      </c>
      <c r="N49" s="89"/>
      <c r="O49" s="89"/>
      <c r="P49" s="51" t="s">
        <v>184</v>
      </c>
      <c r="Q49" s="48">
        <v>41422</v>
      </c>
      <c r="R49" s="53">
        <v>9061</v>
      </c>
    </row>
    <row r="50" spans="1:18" ht="51" x14ac:dyDescent="0.2">
      <c r="A50" s="45" t="s">
        <v>185</v>
      </c>
      <c r="B50" s="45">
        <v>24594</v>
      </c>
      <c r="C50" s="50" t="s">
        <v>43</v>
      </c>
      <c r="D50" s="50" t="s">
        <v>186</v>
      </c>
      <c r="E50" s="80" t="s">
        <v>141</v>
      </c>
      <c r="F50" s="50" t="s">
        <v>167</v>
      </c>
      <c r="G50" s="50" t="s">
        <v>187</v>
      </c>
      <c r="H50" s="88">
        <v>49984.6</v>
      </c>
      <c r="I50" s="88"/>
      <c r="J50" s="89"/>
      <c r="K50" s="89"/>
      <c r="L50" s="89">
        <f t="shared" si="0"/>
        <v>49984.6</v>
      </c>
      <c r="M50" s="87">
        <f t="shared" si="1"/>
        <v>49984.6</v>
      </c>
      <c r="N50" s="89"/>
      <c r="O50" s="89"/>
      <c r="P50" s="48" t="s">
        <v>146</v>
      </c>
      <c r="Q50" s="48">
        <v>42003</v>
      </c>
      <c r="R50" s="49">
        <v>9103</v>
      </c>
    </row>
    <row r="51" spans="1:18" ht="38.25" x14ac:dyDescent="0.2">
      <c r="A51" s="45" t="s">
        <v>188</v>
      </c>
      <c r="B51" s="45">
        <v>23554</v>
      </c>
      <c r="C51" s="50" t="s">
        <v>43</v>
      </c>
      <c r="D51" s="50" t="s">
        <v>189</v>
      </c>
      <c r="E51" s="80" t="s">
        <v>141</v>
      </c>
      <c r="F51" s="50" t="s">
        <v>71</v>
      </c>
      <c r="G51" s="50" t="s">
        <v>190</v>
      </c>
      <c r="H51" s="88">
        <v>49500</v>
      </c>
      <c r="I51" s="88"/>
      <c r="J51" s="89"/>
      <c r="K51" s="89"/>
      <c r="L51" s="89">
        <f t="shared" si="0"/>
        <v>49500</v>
      </c>
      <c r="M51" s="87">
        <f t="shared" si="1"/>
        <v>49500</v>
      </c>
      <c r="N51" s="89"/>
      <c r="O51" s="89"/>
      <c r="P51" s="48" t="s">
        <v>146</v>
      </c>
      <c r="Q51" s="48">
        <v>42004</v>
      </c>
      <c r="R51" s="49">
        <v>9098</v>
      </c>
    </row>
    <row r="52" spans="1:18" ht="25.5" x14ac:dyDescent="0.2">
      <c r="A52" s="45" t="s">
        <v>191</v>
      </c>
      <c r="B52" s="45">
        <v>24720</v>
      </c>
      <c r="C52" s="50" t="s">
        <v>43</v>
      </c>
      <c r="D52" s="50" t="s">
        <v>192</v>
      </c>
      <c r="E52" s="80" t="s">
        <v>141</v>
      </c>
      <c r="F52" s="50" t="s">
        <v>193</v>
      </c>
      <c r="G52" s="50" t="s">
        <v>194</v>
      </c>
      <c r="H52" s="88">
        <v>47368.4</v>
      </c>
      <c r="I52" s="88"/>
      <c r="J52" s="89"/>
      <c r="K52" s="89"/>
      <c r="L52" s="89">
        <f t="shared" si="0"/>
        <v>47368.4</v>
      </c>
      <c r="M52" s="87">
        <f t="shared" si="1"/>
        <v>47368.4</v>
      </c>
      <c r="N52" s="89"/>
      <c r="O52" s="89"/>
      <c r="P52" s="48" t="s">
        <v>146</v>
      </c>
      <c r="Q52" s="48">
        <v>42004</v>
      </c>
      <c r="R52" s="49">
        <v>9097</v>
      </c>
    </row>
    <row r="53" spans="1:18" ht="25.5" x14ac:dyDescent="0.2">
      <c r="A53" s="46" t="s">
        <v>195</v>
      </c>
      <c r="B53" s="46">
        <v>24682</v>
      </c>
      <c r="C53" s="80" t="s">
        <v>43</v>
      </c>
      <c r="D53" s="80" t="s">
        <v>196</v>
      </c>
      <c r="E53" s="80" t="s">
        <v>141</v>
      </c>
      <c r="F53" s="80" t="s">
        <v>94</v>
      </c>
      <c r="G53" s="80" t="s">
        <v>197</v>
      </c>
      <c r="H53" s="88">
        <v>50000</v>
      </c>
      <c r="I53" s="88"/>
      <c r="J53" s="89"/>
      <c r="K53" s="89"/>
      <c r="L53" s="89">
        <f t="shared" si="0"/>
        <v>50000</v>
      </c>
      <c r="M53" s="87">
        <f t="shared" si="1"/>
        <v>50000</v>
      </c>
      <c r="N53" s="89"/>
      <c r="O53" s="89"/>
      <c r="P53" s="51" t="s">
        <v>184</v>
      </c>
      <c r="Q53" s="48">
        <v>42004</v>
      </c>
      <c r="R53" s="49">
        <v>9084</v>
      </c>
    </row>
    <row r="54" spans="1:18" ht="25.5" x14ac:dyDescent="0.2">
      <c r="A54" s="46" t="s">
        <v>198</v>
      </c>
      <c r="B54" s="46">
        <v>23437</v>
      </c>
      <c r="C54" s="80" t="s">
        <v>43</v>
      </c>
      <c r="D54" s="80" t="s">
        <v>199</v>
      </c>
      <c r="E54" s="80" t="s">
        <v>141</v>
      </c>
      <c r="F54" s="80" t="s">
        <v>121</v>
      </c>
      <c r="G54" s="80" t="s">
        <v>200</v>
      </c>
      <c r="H54" s="88">
        <v>50000</v>
      </c>
      <c r="I54" s="88"/>
      <c r="J54" s="89"/>
      <c r="K54" s="89"/>
      <c r="L54" s="89">
        <f t="shared" si="0"/>
        <v>50000</v>
      </c>
      <c r="M54" s="87">
        <f t="shared" si="1"/>
        <v>50000</v>
      </c>
      <c r="N54" s="89"/>
      <c r="O54" s="89"/>
      <c r="P54" s="51" t="s">
        <v>184</v>
      </c>
      <c r="Q54" s="48">
        <v>42063</v>
      </c>
      <c r="R54" s="49">
        <v>9074</v>
      </c>
    </row>
    <row r="55" spans="1:18" ht="25.5" x14ac:dyDescent="0.2">
      <c r="A55" s="54" t="s">
        <v>201</v>
      </c>
      <c r="B55" s="54">
        <v>24727</v>
      </c>
      <c r="C55" s="55" t="s">
        <v>43</v>
      </c>
      <c r="D55" s="55" t="s">
        <v>202</v>
      </c>
      <c r="E55" s="55" t="s">
        <v>141</v>
      </c>
      <c r="F55" s="55" t="s">
        <v>26</v>
      </c>
      <c r="G55" s="55" t="s">
        <v>203</v>
      </c>
      <c r="H55" s="90">
        <v>50000</v>
      </c>
      <c r="I55" s="90"/>
      <c r="J55" s="91"/>
      <c r="K55" s="91"/>
      <c r="L55" s="89">
        <f t="shared" si="0"/>
        <v>50000</v>
      </c>
      <c r="M55" s="87">
        <f t="shared" si="1"/>
        <v>50000</v>
      </c>
      <c r="N55" s="91"/>
      <c r="O55" s="91"/>
      <c r="P55" s="56">
        <v>41214</v>
      </c>
      <c r="Q55" s="48">
        <v>41579</v>
      </c>
      <c r="R55" s="49">
        <v>11812</v>
      </c>
    </row>
    <row r="56" spans="1:18" ht="38.25" x14ac:dyDescent="0.2">
      <c r="A56" s="45" t="s">
        <v>204</v>
      </c>
      <c r="B56" s="45">
        <v>24681</v>
      </c>
      <c r="C56" s="50" t="s">
        <v>43</v>
      </c>
      <c r="D56" s="50" t="s">
        <v>205</v>
      </c>
      <c r="E56" s="80" t="s">
        <v>141</v>
      </c>
      <c r="F56" s="50" t="s">
        <v>94</v>
      </c>
      <c r="G56" s="50" t="s">
        <v>206</v>
      </c>
      <c r="H56" s="88">
        <v>50000</v>
      </c>
      <c r="I56" s="88"/>
      <c r="J56" s="89"/>
      <c r="K56" s="89"/>
      <c r="L56" s="89">
        <f t="shared" si="0"/>
        <v>50000</v>
      </c>
      <c r="M56" s="87">
        <f t="shared" si="1"/>
        <v>50000</v>
      </c>
      <c r="N56" s="89"/>
      <c r="O56" s="89"/>
      <c r="P56" s="48" t="s">
        <v>146</v>
      </c>
      <c r="Q56" s="48">
        <v>42004</v>
      </c>
      <c r="R56" s="49">
        <v>9105</v>
      </c>
    </row>
    <row r="57" spans="1:18" ht="25.5" x14ac:dyDescent="0.2">
      <c r="A57" s="46" t="s">
        <v>207</v>
      </c>
      <c r="B57" s="46">
        <v>24690</v>
      </c>
      <c r="C57" s="80" t="s">
        <v>43</v>
      </c>
      <c r="D57" s="80" t="s">
        <v>208</v>
      </c>
      <c r="E57" s="80" t="s">
        <v>141</v>
      </c>
      <c r="F57" s="80" t="s">
        <v>94</v>
      </c>
      <c r="G57" s="80" t="s">
        <v>209</v>
      </c>
      <c r="H57" s="88">
        <v>50000</v>
      </c>
      <c r="I57" s="88"/>
      <c r="J57" s="89"/>
      <c r="K57" s="89"/>
      <c r="L57" s="89">
        <f t="shared" si="0"/>
        <v>50000</v>
      </c>
      <c r="M57" s="87">
        <f t="shared" si="1"/>
        <v>50000</v>
      </c>
      <c r="N57" s="89"/>
      <c r="O57" s="89"/>
      <c r="P57" s="51" t="s">
        <v>210</v>
      </c>
      <c r="Q57" s="48">
        <v>42004</v>
      </c>
      <c r="R57" s="49">
        <v>9102</v>
      </c>
    </row>
    <row r="58" spans="1:18" ht="25.5" x14ac:dyDescent="0.2">
      <c r="A58" s="45" t="s">
        <v>211</v>
      </c>
      <c r="B58" s="45">
        <v>24723</v>
      </c>
      <c r="C58" s="50" t="s">
        <v>212</v>
      </c>
      <c r="D58" s="50" t="s">
        <v>213</v>
      </c>
      <c r="E58" s="80" t="s">
        <v>141</v>
      </c>
      <c r="F58" s="50" t="s">
        <v>71</v>
      </c>
      <c r="G58" s="50" t="s">
        <v>214</v>
      </c>
      <c r="H58" s="88">
        <v>50000</v>
      </c>
      <c r="I58" s="88"/>
      <c r="J58" s="89"/>
      <c r="K58" s="89"/>
      <c r="L58" s="89">
        <f t="shared" si="0"/>
        <v>50000</v>
      </c>
      <c r="M58" s="87">
        <f t="shared" si="1"/>
        <v>50000</v>
      </c>
      <c r="N58" s="89"/>
      <c r="O58" s="89"/>
      <c r="P58" s="48" t="s">
        <v>146</v>
      </c>
      <c r="Q58" s="48">
        <v>41366</v>
      </c>
      <c r="R58" s="49">
        <v>7678</v>
      </c>
    </row>
    <row r="59" spans="1:18" ht="25.5" x14ac:dyDescent="0.2">
      <c r="A59" s="45" t="s">
        <v>215</v>
      </c>
      <c r="B59" s="45">
        <v>24334</v>
      </c>
      <c r="C59" s="50" t="s">
        <v>35</v>
      </c>
      <c r="D59" s="50" t="s">
        <v>216</v>
      </c>
      <c r="E59" s="80" t="s">
        <v>141</v>
      </c>
      <c r="F59" s="50" t="s">
        <v>167</v>
      </c>
      <c r="G59" s="50" t="s">
        <v>217</v>
      </c>
      <c r="H59" s="88">
        <v>50000</v>
      </c>
      <c r="I59" s="88"/>
      <c r="J59" s="89"/>
      <c r="K59" s="89"/>
      <c r="L59" s="89">
        <f t="shared" si="0"/>
        <v>50000</v>
      </c>
      <c r="M59" s="87">
        <f t="shared" si="1"/>
        <v>50000</v>
      </c>
      <c r="N59" s="89"/>
      <c r="O59" s="89"/>
      <c r="P59" s="48" t="s">
        <v>146</v>
      </c>
      <c r="Q59" s="48">
        <v>41366</v>
      </c>
      <c r="R59" s="49">
        <v>7381</v>
      </c>
    </row>
    <row r="60" spans="1:18" ht="38.25" x14ac:dyDescent="0.2">
      <c r="A60" s="45" t="s">
        <v>218</v>
      </c>
      <c r="B60" s="45">
        <v>24468</v>
      </c>
      <c r="C60" s="50" t="s">
        <v>35</v>
      </c>
      <c r="D60" s="50" t="s">
        <v>219</v>
      </c>
      <c r="E60" s="80" t="s">
        <v>141</v>
      </c>
      <c r="F60" s="50" t="s">
        <v>167</v>
      </c>
      <c r="G60" s="50" t="s">
        <v>220</v>
      </c>
      <c r="H60" s="88">
        <v>50000</v>
      </c>
      <c r="I60" s="88"/>
      <c r="J60" s="89"/>
      <c r="K60" s="89"/>
      <c r="L60" s="89">
        <f t="shared" si="0"/>
        <v>50000</v>
      </c>
      <c r="M60" s="87">
        <f t="shared" si="1"/>
        <v>50000</v>
      </c>
      <c r="N60" s="89"/>
      <c r="O60" s="89"/>
      <c r="P60" s="48" t="s">
        <v>146</v>
      </c>
      <c r="Q60" s="48">
        <v>41366</v>
      </c>
      <c r="R60" s="49">
        <v>7389</v>
      </c>
    </row>
    <row r="61" spans="1:18" ht="51" x14ac:dyDescent="0.2">
      <c r="A61" s="45" t="s">
        <v>221</v>
      </c>
      <c r="B61" s="45">
        <v>24698</v>
      </c>
      <c r="C61" s="50" t="s">
        <v>19</v>
      </c>
      <c r="D61" s="50" t="s">
        <v>222</v>
      </c>
      <c r="E61" s="80" t="s">
        <v>141</v>
      </c>
      <c r="F61" s="50" t="s">
        <v>193</v>
      </c>
      <c r="G61" s="50" t="s">
        <v>223</v>
      </c>
      <c r="H61" s="88">
        <v>50000</v>
      </c>
      <c r="I61" s="88"/>
      <c r="J61" s="89"/>
      <c r="K61" s="89"/>
      <c r="L61" s="89">
        <f t="shared" si="0"/>
        <v>50000</v>
      </c>
      <c r="M61" s="87">
        <f t="shared" si="1"/>
        <v>50000</v>
      </c>
      <c r="N61" s="89"/>
      <c r="O61" s="89"/>
      <c r="P61" s="48" t="s">
        <v>146</v>
      </c>
      <c r="Q61" s="48">
        <v>41366</v>
      </c>
      <c r="R61" s="49">
        <v>7495</v>
      </c>
    </row>
    <row r="62" spans="1:18" ht="25.5" x14ac:dyDescent="0.2">
      <c r="A62" s="45" t="s">
        <v>224</v>
      </c>
      <c r="B62" s="45">
        <v>24711</v>
      </c>
      <c r="C62" s="50" t="s">
        <v>19</v>
      </c>
      <c r="D62" s="50" t="s">
        <v>225</v>
      </c>
      <c r="E62" s="80" t="s">
        <v>141</v>
      </c>
      <c r="F62" s="81" t="s">
        <v>167</v>
      </c>
      <c r="G62" s="50" t="s">
        <v>226</v>
      </c>
      <c r="H62" s="88">
        <v>74870</v>
      </c>
      <c r="I62" s="88"/>
      <c r="J62" s="89"/>
      <c r="K62" s="89"/>
      <c r="L62" s="89">
        <f t="shared" si="0"/>
        <v>74870</v>
      </c>
      <c r="M62" s="87">
        <f t="shared" si="1"/>
        <v>74870</v>
      </c>
      <c r="N62" s="89"/>
      <c r="O62" s="89"/>
      <c r="P62" s="48" t="s">
        <v>146</v>
      </c>
      <c r="Q62" s="48">
        <v>41366</v>
      </c>
      <c r="R62" s="49">
        <v>7500</v>
      </c>
    </row>
    <row r="63" spans="1:18" ht="38.25" x14ac:dyDescent="0.2">
      <c r="A63" s="54" t="s">
        <v>227</v>
      </c>
      <c r="B63" s="54">
        <v>24281</v>
      </c>
      <c r="C63" s="55" t="s">
        <v>43</v>
      </c>
      <c r="D63" s="55" t="s">
        <v>228</v>
      </c>
      <c r="E63" s="55" t="s">
        <v>141</v>
      </c>
      <c r="F63" s="55" t="s">
        <v>94</v>
      </c>
      <c r="G63" s="55" t="s">
        <v>229</v>
      </c>
      <c r="H63" s="90">
        <v>50000</v>
      </c>
      <c r="I63" s="90"/>
      <c r="J63" s="91"/>
      <c r="K63" s="91"/>
      <c r="L63" s="89">
        <f t="shared" si="0"/>
        <v>50000</v>
      </c>
      <c r="M63" s="87">
        <f t="shared" si="1"/>
        <v>50000</v>
      </c>
      <c r="N63" s="91"/>
      <c r="O63" s="91"/>
      <c r="P63" s="56">
        <v>41087</v>
      </c>
      <c r="Q63" s="48">
        <v>41452</v>
      </c>
      <c r="R63" s="49">
        <v>10524</v>
      </c>
    </row>
    <row r="64" spans="1:18" ht="38.25" x14ac:dyDescent="0.2">
      <c r="A64" s="45" t="s">
        <v>230</v>
      </c>
      <c r="B64" s="45">
        <v>24693</v>
      </c>
      <c r="C64" s="50" t="s">
        <v>231</v>
      </c>
      <c r="D64" s="50" t="s">
        <v>232</v>
      </c>
      <c r="E64" s="80" t="s">
        <v>21</v>
      </c>
      <c r="F64" s="50" t="s">
        <v>63</v>
      </c>
      <c r="G64" s="50" t="s">
        <v>233</v>
      </c>
      <c r="H64" s="88">
        <v>360</v>
      </c>
      <c r="I64" s="88"/>
      <c r="J64" s="89"/>
      <c r="K64" s="89"/>
      <c r="L64" s="89">
        <f t="shared" si="0"/>
        <v>360</v>
      </c>
      <c r="M64" s="87">
        <f t="shared" si="1"/>
        <v>360</v>
      </c>
      <c r="N64" s="89"/>
      <c r="O64" s="89"/>
      <c r="P64" s="48" t="s">
        <v>138</v>
      </c>
      <c r="Q64" s="48">
        <v>41111</v>
      </c>
      <c r="R64" s="49">
        <v>6675</v>
      </c>
    </row>
    <row r="65" spans="1:18" ht="38.25" x14ac:dyDescent="0.2">
      <c r="A65" s="45" t="s">
        <v>234</v>
      </c>
      <c r="B65" s="45">
        <v>24161</v>
      </c>
      <c r="C65" s="50" t="s">
        <v>35</v>
      </c>
      <c r="D65" s="50" t="s">
        <v>235</v>
      </c>
      <c r="E65" s="80" t="s">
        <v>21</v>
      </c>
      <c r="F65" s="50" t="s">
        <v>63</v>
      </c>
      <c r="G65" s="50" t="s">
        <v>236</v>
      </c>
      <c r="H65" s="88">
        <v>6000</v>
      </c>
      <c r="I65" s="88"/>
      <c r="J65" s="89"/>
      <c r="K65" s="89"/>
      <c r="L65" s="89">
        <f t="shared" si="0"/>
        <v>6000</v>
      </c>
      <c r="M65" s="87">
        <f t="shared" si="1"/>
        <v>6000</v>
      </c>
      <c r="N65" s="89"/>
      <c r="O65" s="89"/>
      <c r="P65" s="48" t="s">
        <v>73</v>
      </c>
      <c r="Q65" s="48">
        <v>41109</v>
      </c>
      <c r="R65" s="49"/>
    </row>
    <row r="66" spans="1:18" ht="38.25" x14ac:dyDescent="0.2">
      <c r="A66" s="45" t="s">
        <v>237</v>
      </c>
      <c r="B66" s="45">
        <v>24735</v>
      </c>
      <c r="C66" s="50" t="s">
        <v>238</v>
      </c>
      <c r="D66" s="50" t="s">
        <v>239</v>
      </c>
      <c r="E66" s="80" t="s">
        <v>21</v>
      </c>
      <c r="F66" s="50" t="s">
        <v>240</v>
      </c>
      <c r="G66" s="50" t="s">
        <v>241</v>
      </c>
      <c r="H66" s="88">
        <v>5379.2</v>
      </c>
      <c r="I66" s="88"/>
      <c r="J66" s="89"/>
      <c r="K66" s="89"/>
      <c r="L66" s="89">
        <f t="shared" si="0"/>
        <v>5379.2</v>
      </c>
      <c r="M66" s="87">
        <f t="shared" si="1"/>
        <v>5379.2</v>
      </c>
      <c r="N66" s="89"/>
      <c r="O66" s="89"/>
      <c r="P66" s="48" t="s">
        <v>73</v>
      </c>
      <c r="Q66" s="48">
        <v>41109</v>
      </c>
      <c r="R66" s="49">
        <v>7749</v>
      </c>
    </row>
    <row r="67" spans="1:18" ht="51" x14ac:dyDescent="0.2">
      <c r="A67" s="45" t="s">
        <v>242</v>
      </c>
      <c r="B67" s="45">
        <v>24511</v>
      </c>
      <c r="C67" s="50" t="s">
        <v>243</v>
      </c>
      <c r="D67" s="50" t="s">
        <v>244</v>
      </c>
      <c r="E67" s="80" t="s">
        <v>21</v>
      </c>
      <c r="F67" s="50" t="s">
        <v>87</v>
      </c>
      <c r="G67" s="50" t="s">
        <v>245</v>
      </c>
      <c r="H67" s="88">
        <v>1640</v>
      </c>
      <c r="I67" s="88"/>
      <c r="J67" s="89"/>
      <c r="K67" s="89"/>
      <c r="L67" s="89">
        <f t="shared" si="0"/>
        <v>1640</v>
      </c>
      <c r="M67" s="87">
        <f t="shared" si="1"/>
        <v>1640</v>
      </c>
      <c r="N67" s="89"/>
      <c r="O67" s="89"/>
      <c r="P67" s="48" t="s">
        <v>246</v>
      </c>
      <c r="Q67" s="48">
        <v>41113</v>
      </c>
      <c r="R67" s="49">
        <v>6732</v>
      </c>
    </row>
    <row r="68" spans="1:18" ht="38.25" x14ac:dyDescent="0.2">
      <c r="A68" s="45" t="s">
        <v>247</v>
      </c>
      <c r="B68" s="45">
        <v>24507</v>
      </c>
      <c r="C68" s="50" t="s">
        <v>238</v>
      </c>
      <c r="D68" s="50" t="s">
        <v>248</v>
      </c>
      <c r="E68" s="80" t="s">
        <v>21</v>
      </c>
      <c r="F68" s="50" t="s">
        <v>249</v>
      </c>
      <c r="G68" s="50" t="s">
        <v>250</v>
      </c>
      <c r="H68" s="88">
        <v>4235.5</v>
      </c>
      <c r="I68" s="88"/>
      <c r="J68" s="89"/>
      <c r="K68" s="89"/>
      <c r="L68" s="89">
        <f t="shared" si="0"/>
        <v>4235.5</v>
      </c>
      <c r="M68" s="87">
        <f t="shared" si="1"/>
        <v>4235.5</v>
      </c>
      <c r="N68" s="89"/>
      <c r="O68" s="89"/>
      <c r="P68" s="48" t="s">
        <v>251</v>
      </c>
      <c r="Q68" s="48">
        <v>41116</v>
      </c>
      <c r="R68" s="49">
        <v>7755</v>
      </c>
    </row>
    <row r="69" spans="1:18" ht="38.25" x14ac:dyDescent="0.2">
      <c r="A69" s="45" t="s">
        <v>252</v>
      </c>
      <c r="B69" s="45">
        <v>17704</v>
      </c>
      <c r="C69" s="50" t="s">
        <v>43</v>
      </c>
      <c r="D69" s="50" t="s">
        <v>253</v>
      </c>
      <c r="E69" s="80" t="s">
        <v>21</v>
      </c>
      <c r="F69" s="50" t="s">
        <v>22</v>
      </c>
      <c r="G69" s="50" t="s">
        <v>254</v>
      </c>
      <c r="H69" s="88">
        <v>2358</v>
      </c>
      <c r="I69" s="88"/>
      <c r="J69" s="89"/>
      <c r="K69" s="89"/>
      <c r="L69" s="89">
        <f t="shared" si="0"/>
        <v>2358</v>
      </c>
      <c r="M69" s="87">
        <f t="shared" si="1"/>
        <v>2358</v>
      </c>
      <c r="N69" s="89"/>
      <c r="O69" s="89"/>
      <c r="P69" s="48" t="s">
        <v>146</v>
      </c>
      <c r="Q69" s="48">
        <v>41123</v>
      </c>
      <c r="R69" s="49">
        <v>9044</v>
      </c>
    </row>
    <row r="70" spans="1:18" ht="38.25" x14ac:dyDescent="0.2">
      <c r="A70" s="45" t="s">
        <v>255</v>
      </c>
      <c r="B70" s="45">
        <v>19042</v>
      </c>
      <c r="C70" s="50" t="s">
        <v>35</v>
      </c>
      <c r="D70" s="50" t="s">
        <v>256</v>
      </c>
      <c r="E70" s="80" t="s">
        <v>21</v>
      </c>
      <c r="F70" s="81" t="s">
        <v>94</v>
      </c>
      <c r="G70" s="50" t="s">
        <v>257</v>
      </c>
      <c r="H70" s="88">
        <v>2124</v>
      </c>
      <c r="I70" s="88"/>
      <c r="J70" s="89"/>
      <c r="K70" s="89"/>
      <c r="L70" s="89">
        <f t="shared" si="0"/>
        <v>2124</v>
      </c>
      <c r="M70" s="87">
        <f t="shared" si="1"/>
        <v>2124</v>
      </c>
      <c r="N70" s="89"/>
      <c r="O70" s="89"/>
      <c r="P70" s="48" t="s">
        <v>251</v>
      </c>
      <c r="Q70" s="48">
        <v>41116</v>
      </c>
      <c r="R70" s="49">
        <v>6796</v>
      </c>
    </row>
    <row r="71" spans="1:18" ht="38.25" x14ac:dyDescent="0.2">
      <c r="A71" s="45" t="s">
        <v>258</v>
      </c>
      <c r="B71" s="45">
        <v>24730</v>
      </c>
      <c r="C71" s="50" t="s">
        <v>43</v>
      </c>
      <c r="D71" s="50" t="s">
        <v>259</v>
      </c>
      <c r="E71" s="80" t="s">
        <v>21</v>
      </c>
      <c r="F71" s="81" t="s">
        <v>26</v>
      </c>
      <c r="G71" s="50" t="s">
        <v>260</v>
      </c>
      <c r="H71" s="88">
        <v>4624</v>
      </c>
      <c r="I71" s="88"/>
      <c r="J71" s="89"/>
      <c r="K71" s="89"/>
      <c r="L71" s="89">
        <f t="shared" ref="L71:L134" si="2">H71+I71+J71+K71</f>
        <v>4624</v>
      </c>
      <c r="M71" s="87">
        <f t="shared" ref="M71:M134" si="3">SUM(L71)</f>
        <v>4624</v>
      </c>
      <c r="N71" s="89"/>
      <c r="O71" s="89"/>
      <c r="P71" s="48" t="s">
        <v>261</v>
      </c>
      <c r="Q71" s="48">
        <v>41141</v>
      </c>
      <c r="R71" s="49">
        <v>9038</v>
      </c>
    </row>
    <row r="72" spans="1:18" ht="38.25" x14ac:dyDescent="0.2">
      <c r="A72" s="45" t="s">
        <v>262</v>
      </c>
      <c r="B72" s="45">
        <v>24601</v>
      </c>
      <c r="C72" s="50" t="s">
        <v>263</v>
      </c>
      <c r="D72" s="50" t="s">
        <v>264</v>
      </c>
      <c r="E72" s="80" t="s">
        <v>21</v>
      </c>
      <c r="F72" s="50" t="s">
        <v>71</v>
      </c>
      <c r="G72" s="50" t="s">
        <v>265</v>
      </c>
      <c r="H72" s="88">
        <v>4624</v>
      </c>
      <c r="I72" s="88"/>
      <c r="J72" s="89"/>
      <c r="K72" s="89"/>
      <c r="L72" s="89">
        <f t="shared" si="2"/>
        <v>4624</v>
      </c>
      <c r="M72" s="87">
        <f t="shared" si="3"/>
        <v>4624</v>
      </c>
      <c r="N72" s="89"/>
      <c r="O72" s="89"/>
      <c r="P72" s="48" t="s">
        <v>146</v>
      </c>
      <c r="Q72" s="48">
        <v>41092</v>
      </c>
      <c r="R72" s="49">
        <v>6806</v>
      </c>
    </row>
    <row r="73" spans="1:18" ht="38.25" x14ac:dyDescent="0.2">
      <c r="A73" s="45" t="s">
        <v>266</v>
      </c>
      <c r="B73" s="45">
        <v>24788</v>
      </c>
      <c r="C73" s="50" t="s">
        <v>43</v>
      </c>
      <c r="D73" s="50" t="s">
        <v>267</v>
      </c>
      <c r="E73" s="80" t="s">
        <v>21</v>
      </c>
      <c r="F73" s="50" t="s">
        <v>22</v>
      </c>
      <c r="G73" s="50" t="s">
        <v>268</v>
      </c>
      <c r="H73" s="88">
        <v>3089</v>
      </c>
      <c r="I73" s="88"/>
      <c r="J73" s="89"/>
      <c r="K73" s="89"/>
      <c r="L73" s="89">
        <f t="shared" si="2"/>
        <v>3089</v>
      </c>
      <c r="M73" s="87">
        <f t="shared" si="3"/>
        <v>3089</v>
      </c>
      <c r="N73" s="89"/>
      <c r="O73" s="89"/>
      <c r="P73" s="48" t="s">
        <v>269</v>
      </c>
      <c r="Q73" s="48">
        <v>41273</v>
      </c>
      <c r="R73" s="49">
        <v>9035</v>
      </c>
    </row>
    <row r="74" spans="1:18" ht="38.25" x14ac:dyDescent="0.2">
      <c r="A74" s="45" t="s">
        <v>270</v>
      </c>
      <c r="B74" s="45">
        <v>24496</v>
      </c>
      <c r="C74" s="50" t="s">
        <v>43</v>
      </c>
      <c r="D74" s="50" t="s">
        <v>271</v>
      </c>
      <c r="E74" s="80" t="s">
        <v>21</v>
      </c>
      <c r="F74" s="50" t="s">
        <v>45</v>
      </c>
      <c r="G74" s="50" t="s">
        <v>272</v>
      </c>
      <c r="H74" s="88">
        <v>2304</v>
      </c>
      <c r="I74" s="88"/>
      <c r="J74" s="89"/>
      <c r="K74" s="89"/>
      <c r="L74" s="89">
        <f t="shared" si="2"/>
        <v>2304</v>
      </c>
      <c r="M74" s="87">
        <f t="shared" si="3"/>
        <v>2304</v>
      </c>
      <c r="N74" s="89"/>
      <c r="O74" s="89"/>
      <c r="P74" s="48" t="s">
        <v>269</v>
      </c>
      <c r="Q74" s="48">
        <v>41273</v>
      </c>
      <c r="R74" s="49">
        <v>9034</v>
      </c>
    </row>
    <row r="75" spans="1:18" ht="51" x14ac:dyDescent="0.2">
      <c r="A75" s="45" t="s">
        <v>273</v>
      </c>
      <c r="B75" s="45">
        <v>22443</v>
      </c>
      <c r="C75" s="50" t="s">
        <v>19</v>
      </c>
      <c r="D75" s="50" t="s">
        <v>274</v>
      </c>
      <c r="E75" s="80" t="s">
        <v>21</v>
      </c>
      <c r="F75" s="50" t="s">
        <v>94</v>
      </c>
      <c r="G75" s="50" t="s">
        <v>275</v>
      </c>
      <c r="H75" s="88">
        <v>4452</v>
      </c>
      <c r="I75" s="88"/>
      <c r="J75" s="89"/>
      <c r="K75" s="89"/>
      <c r="L75" s="89">
        <f t="shared" si="2"/>
        <v>4452</v>
      </c>
      <c r="M75" s="87">
        <f t="shared" si="3"/>
        <v>4452</v>
      </c>
      <c r="N75" s="89"/>
      <c r="O75" s="89"/>
      <c r="P75" s="48" t="s">
        <v>276</v>
      </c>
      <c r="Q75" s="48">
        <v>41118</v>
      </c>
      <c r="R75" s="49">
        <v>6813</v>
      </c>
    </row>
    <row r="76" spans="1:18" ht="38.25" x14ac:dyDescent="0.2">
      <c r="A76" s="45" t="s">
        <v>277</v>
      </c>
      <c r="B76" s="45">
        <v>24529</v>
      </c>
      <c r="C76" s="50" t="s">
        <v>19</v>
      </c>
      <c r="D76" s="50" t="s">
        <v>278</v>
      </c>
      <c r="E76" s="80" t="s">
        <v>21</v>
      </c>
      <c r="F76" s="50" t="s">
        <v>87</v>
      </c>
      <c r="G76" s="50" t="s">
        <v>279</v>
      </c>
      <c r="H76" s="88">
        <v>2212</v>
      </c>
      <c r="I76" s="88"/>
      <c r="J76" s="89"/>
      <c r="K76" s="89"/>
      <c r="L76" s="89">
        <f t="shared" si="2"/>
        <v>2212</v>
      </c>
      <c r="M76" s="87">
        <f t="shared" si="3"/>
        <v>2212</v>
      </c>
      <c r="N76" s="89"/>
      <c r="O76" s="89"/>
      <c r="P76" s="48" t="s">
        <v>276</v>
      </c>
      <c r="Q76" s="48">
        <v>41118</v>
      </c>
      <c r="R76" s="49">
        <v>6823</v>
      </c>
    </row>
    <row r="77" spans="1:18" ht="38.25" x14ac:dyDescent="0.2">
      <c r="A77" s="45" t="s">
        <v>280</v>
      </c>
      <c r="B77" s="45">
        <v>24142</v>
      </c>
      <c r="C77" s="50" t="s">
        <v>19</v>
      </c>
      <c r="D77" s="50" t="s">
        <v>281</v>
      </c>
      <c r="E77" s="80" t="s">
        <v>21</v>
      </c>
      <c r="F77" s="50" t="s">
        <v>87</v>
      </c>
      <c r="G77" s="50" t="s">
        <v>279</v>
      </c>
      <c r="H77" s="88">
        <v>2212</v>
      </c>
      <c r="I77" s="88"/>
      <c r="J77" s="89"/>
      <c r="K77" s="89"/>
      <c r="L77" s="89">
        <f t="shared" si="2"/>
        <v>2212</v>
      </c>
      <c r="M77" s="87">
        <f t="shared" si="3"/>
        <v>2212</v>
      </c>
      <c r="N77" s="89"/>
      <c r="O77" s="89"/>
      <c r="P77" s="48" t="s">
        <v>276</v>
      </c>
      <c r="Q77" s="48">
        <v>41118</v>
      </c>
      <c r="R77" s="49">
        <v>6826</v>
      </c>
    </row>
    <row r="78" spans="1:18" ht="38.25" x14ac:dyDescent="0.2">
      <c r="A78" s="45" t="s">
        <v>282</v>
      </c>
      <c r="B78" s="45">
        <v>17339</v>
      </c>
      <c r="C78" s="50" t="s">
        <v>107</v>
      </c>
      <c r="D78" s="50" t="s">
        <v>283</v>
      </c>
      <c r="E78" s="80" t="s">
        <v>21</v>
      </c>
      <c r="F78" s="50" t="s">
        <v>121</v>
      </c>
      <c r="G78" s="50" t="s">
        <v>284</v>
      </c>
      <c r="H78" s="88">
        <v>4890</v>
      </c>
      <c r="I78" s="88"/>
      <c r="J78" s="89"/>
      <c r="K78" s="89"/>
      <c r="L78" s="89">
        <f t="shared" si="2"/>
        <v>4890</v>
      </c>
      <c r="M78" s="87">
        <f t="shared" si="3"/>
        <v>4890</v>
      </c>
      <c r="N78" s="89"/>
      <c r="O78" s="89"/>
      <c r="P78" s="48" t="s">
        <v>285</v>
      </c>
      <c r="Q78" s="48">
        <v>41112</v>
      </c>
      <c r="R78" s="49">
        <v>6902</v>
      </c>
    </row>
    <row r="79" spans="1:18" ht="38.25" x14ac:dyDescent="0.2">
      <c r="A79" s="45" t="s">
        <v>286</v>
      </c>
      <c r="B79" s="45">
        <v>24779</v>
      </c>
      <c r="C79" s="50" t="s">
        <v>238</v>
      </c>
      <c r="D79" s="50" t="s">
        <v>287</v>
      </c>
      <c r="E79" s="80" t="s">
        <v>21</v>
      </c>
      <c r="F79" s="50" t="s">
        <v>121</v>
      </c>
      <c r="G79" s="50" t="s">
        <v>284</v>
      </c>
      <c r="H79" s="88">
        <v>4532.5</v>
      </c>
      <c r="I79" s="88"/>
      <c r="J79" s="89"/>
      <c r="K79" s="89"/>
      <c r="L79" s="89">
        <f t="shared" si="2"/>
        <v>4532.5</v>
      </c>
      <c r="M79" s="87">
        <f t="shared" si="3"/>
        <v>4532.5</v>
      </c>
      <c r="N79" s="89"/>
      <c r="O79" s="89"/>
      <c r="P79" s="48" t="s">
        <v>251</v>
      </c>
      <c r="Q79" s="48">
        <v>41116</v>
      </c>
      <c r="R79" s="49">
        <v>7597</v>
      </c>
    </row>
    <row r="80" spans="1:18" ht="38.25" x14ac:dyDescent="0.2">
      <c r="A80" s="45" t="s">
        <v>288</v>
      </c>
      <c r="B80" s="45">
        <v>18536</v>
      </c>
      <c r="C80" s="50" t="s">
        <v>231</v>
      </c>
      <c r="D80" s="50" t="s">
        <v>289</v>
      </c>
      <c r="E80" s="80" t="s">
        <v>21</v>
      </c>
      <c r="F80" s="50" t="s">
        <v>249</v>
      </c>
      <c r="G80" s="50" t="s">
        <v>290</v>
      </c>
      <c r="H80" s="88">
        <v>1538</v>
      </c>
      <c r="I80" s="88"/>
      <c r="J80" s="89"/>
      <c r="K80" s="89"/>
      <c r="L80" s="89">
        <f t="shared" si="2"/>
        <v>1538</v>
      </c>
      <c r="M80" s="87">
        <f t="shared" si="3"/>
        <v>1538</v>
      </c>
      <c r="N80" s="89"/>
      <c r="O80" s="89"/>
      <c r="P80" s="48" t="s">
        <v>285</v>
      </c>
      <c r="Q80" s="48">
        <v>41112</v>
      </c>
      <c r="R80" s="49">
        <v>6910</v>
      </c>
    </row>
    <row r="81" spans="1:18" ht="38.25" x14ac:dyDescent="0.2">
      <c r="A81" s="45" t="s">
        <v>291</v>
      </c>
      <c r="B81" s="45">
        <v>24669</v>
      </c>
      <c r="C81" s="50" t="s">
        <v>43</v>
      </c>
      <c r="D81" s="50" t="s">
        <v>292</v>
      </c>
      <c r="E81" s="80" t="s">
        <v>21</v>
      </c>
      <c r="F81" s="50" t="s">
        <v>71</v>
      </c>
      <c r="G81" s="50" t="s">
        <v>293</v>
      </c>
      <c r="H81" s="88">
        <v>5068</v>
      </c>
      <c r="I81" s="88"/>
      <c r="J81" s="89"/>
      <c r="K81" s="89"/>
      <c r="L81" s="89">
        <f t="shared" si="2"/>
        <v>5068</v>
      </c>
      <c r="M81" s="87">
        <f t="shared" si="3"/>
        <v>5068</v>
      </c>
      <c r="N81" s="89"/>
      <c r="O81" s="89"/>
      <c r="P81" s="48" t="s">
        <v>294</v>
      </c>
      <c r="Q81" s="48">
        <v>41273</v>
      </c>
      <c r="R81" s="49">
        <v>9032</v>
      </c>
    </row>
    <row r="82" spans="1:18" ht="38.25" x14ac:dyDescent="0.2">
      <c r="A82" s="45" t="s">
        <v>295</v>
      </c>
      <c r="B82" s="45">
        <v>18400</v>
      </c>
      <c r="C82" s="50" t="s">
        <v>263</v>
      </c>
      <c r="D82" s="50" t="s">
        <v>296</v>
      </c>
      <c r="E82" s="80" t="s">
        <v>21</v>
      </c>
      <c r="F82" s="50" t="s">
        <v>22</v>
      </c>
      <c r="G82" s="50" t="s">
        <v>297</v>
      </c>
      <c r="H82" s="88">
        <v>3787</v>
      </c>
      <c r="I82" s="88"/>
      <c r="J82" s="89"/>
      <c r="K82" s="89"/>
      <c r="L82" s="89">
        <f t="shared" si="2"/>
        <v>3787</v>
      </c>
      <c r="M82" s="87">
        <f t="shared" si="3"/>
        <v>3787</v>
      </c>
      <c r="N82" s="89"/>
      <c r="O82" s="89"/>
      <c r="P82" s="48" t="s">
        <v>146</v>
      </c>
      <c r="Q82" s="48">
        <v>41123</v>
      </c>
      <c r="R82" s="49">
        <v>6932</v>
      </c>
    </row>
    <row r="83" spans="1:18" ht="38.25" x14ac:dyDescent="0.2">
      <c r="A83" s="45" t="s">
        <v>298</v>
      </c>
      <c r="B83" s="45">
        <v>24457</v>
      </c>
      <c r="C83" s="50" t="s">
        <v>19</v>
      </c>
      <c r="D83" s="50" t="s">
        <v>299</v>
      </c>
      <c r="E83" s="80" t="s">
        <v>21</v>
      </c>
      <c r="F83" s="50" t="s">
        <v>26</v>
      </c>
      <c r="G83" s="50" t="s">
        <v>300</v>
      </c>
      <c r="H83" s="88">
        <v>1954.5</v>
      </c>
      <c r="I83" s="88"/>
      <c r="J83" s="89"/>
      <c r="K83" s="89"/>
      <c r="L83" s="89">
        <f t="shared" si="2"/>
        <v>1954.5</v>
      </c>
      <c r="M83" s="87">
        <f t="shared" si="3"/>
        <v>1954.5</v>
      </c>
      <c r="N83" s="89"/>
      <c r="O83" s="89"/>
      <c r="P83" s="48" t="s">
        <v>276</v>
      </c>
      <c r="Q83" s="48">
        <v>41118</v>
      </c>
      <c r="R83" s="49">
        <v>6948</v>
      </c>
    </row>
    <row r="84" spans="1:18" ht="38.25" x14ac:dyDescent="0.2">
      <c r="A84" s="45" t="s">
        <v>301</v>
      </c>
      <c r="B84" s="45">
        <v>24843</v>
      </c>
      <c r="C84" s="50" t="s">
        <v>35</v>
      </c>
      <c r="D84" s="50" t="s">
        <v>302</v>
      </c>
      <c r="E84" s="80" t="s">
        <v>21</v>
      </c>
      <c r="F84" s="50" t="s">
        <v>240</v>
      </c>
      <c r="G84" s="50" t="s">
        <v>303</v>
      </c>
      <c r="H84" s="88">
        <v>4859.8500000000004</v>
      </c>
      <c r="I84" s="88"/>
      <c r="J84" s="89"/>
      <c r="K84" s="89"/>
      <c r="L84" s="89">
        <f t="shared" si="2"/>
        <v>4859.8500000000004</v>
      </c>
      <c r="M84" s="87">
        <f t="shared" si="3"/>
        <v>4859.8500000000004</v>
      </c>
      <c r="N84" s="89"/>
      <c r="O84" s="89"/>
      <c r="P84" s="48" t="s">
        <v>251</v>
      </c>
      <c r="Q84" s="48">
        <v>41116</v>
      </c>
      <c r="R84" s="49">
        <v>6961</v>
      </c>
    </row>
    <row r="85" spans="1:18" ht="38.25" x14ac:dyDescent="0.2">
      <c r="A85" s="45" t="s">
        <v>304</v>
      </c>
      <c r="B85" s="45">
        <v>24850</v>
      </c>
      <c r="C85" s="50" t="s">
        <v>35</v>
      </c>
      <c r="D85" s="50" t="s">
        <v>305</v>
      </c>
      <c r="E85" s="80" t="s">
        <v>21</v>
      </c>
      <c r="F85" s="50" t="s">
        <v>240</v>
      </c>
      <c r="G85" s="50" t="s">
        <v>303</v>
      </c>
      <c r="H85" s="88">
        <v>4859.8500000000004</v>
      </c>
      <c r="I85" s="88"/>
      <c r="J85" s="89"/>
      <c r="K85" s="89"/>
      <c r="L85" s="89">
        <f t="shared" si="2"/>
        <v>4859.8500000000004</v>
      </c>
      <c r="M85" s="87">
        <f t="shared" si="3"/>
        <v>4859.8500000000004</v>
      </c>
      <c r="N85" s="89"/>
      <c r="O85" s="89"/>
      <c r="P85" s="48" t="s">
        <v>251</v>
      </c>
      <c r="Q85" s="48">
        <v>41116</v>
      </c>
      <c r="R85" s="49">
        <v>6966</v>
      </c>
    </row>
    <row r="86" spans="1:18" ht="25.5" x14ac:dyDescent="0.2">
      <c r="A86" s="45" t="s">
        <v>306</v>
      </c>
      <c r="B86" s="45">
        <v>1500</v>
      </c>
      <c r="C86" s="50" t="s">
        <v>35</v>
      </c>
      <c r="D86" s="50" t="s">
        <v>307</v>
      </c>
      <c r="E86" s="80" t="s">
        <v>308</v>
      </c>
      <c r="F86" s="81" t="s">
        <v>109</v>
      </c>
      <c r="G86" s="50" t="s">
        <v>309</v>
      </c>
      <c r="H86" s="88">
        <v>22389</v>
      </c>
      <c r="I86" s="88"/>
      <c r="J86" s="89"/>
      <c r="K86" s="89"/>
      <c r="L86" s="89">
        <f t="shared" si="2"/>
        <v>22389</v>
      </c>
      <c r="M86" s="87">
        <f t="shared" si="3"/>
        <v>22389</v>
      </c>
      <c r="N86" s="89"/>
      <c r="O86" s="89"/>
      <c r="P86" s="48" t="s">
        <v>310</v>
      </c>
      <c r="Q86" s="48">
        <v>41168</v>
      </c>
      <c r="R86" s="49">
        <v>7051</v>
      </c>
    </row>
    <row r="87" spans="1:18" ht="25.5" x14ac:dyDescent="0.2">
      <c r="A87" s="45" t="s">
        <v>311</v>
      </c>
      <c r="B87" s="45">
        <v>1494</v>
      </c>
      <c r="C87" s="50" t="s">
        <v>19</v>
      </c>
      <c r="D87" s="50" t="s">
        <v>312</v>
      </c>
      <c r="E87" s="80" t="s">
        <v>308</v>
      </c>
      <c r="F87" s="50" t="s">
        <v>313</v>
      </c>
      <c r="G87" s="50" t="s">
        <v>314</v>
      </c>
      <c r="H87" s="88">
        <v>15734.45</v>
      </c>
      <c r="I87" s="88"/>
      <c r="J87" s="89"/>
      <c r="K87" s="89"/>
      <c r="L87" s="89">
        <f t="shared" si="2"/>
        <v>15734.45</v>
      </c>
      <c r="M87" s="87">
        <f t="shared" si="3"/>
        <v>15734.45</v>
      </c>
      <c r="N87" s="89"/>
      <c r="O87" s="89"/>
      <c r="P87" s="48" t="s">
        <v>73</v>
      </c>
      <c r="Q87" s="48">
        <v>42454</v>
      </c>
      <c r="R87" s="49">
        <v>7067</v>
      </c>
    </row>
    <row r="88" spans="1:18" ht="38.25" x14ac:dyDescent="0.2">
      <c r="A88" s="45" t="s">
        <v>315</v>
      </c>
      <c r="B88" s="45">
        <v>24140</v>
      </c>
      <c r="C88" s="50" t="s">
        <v>19</v>
      </c>
      <c r="D88" s="50" t="s">
        <v>316</v>
      </c>
      <c r="E88" s="80" t="s">
        <v>129</v>
      </c>
      <c r="F88" s="50" t="s">
        <v>63</v>
      </c>
      <c r="G88" s="50" t="s">
        <v>317</v>
      </c>
      <c r="H88" s="88"/>
      <c r="I88" s="88"/>
      <c r="J88" s="89"/>
      <c r="K88" s="89">
        <v>195200</v>
      </c>
      <c r="L88" s="89">
        <f t="shared" si="2"/>
        <v>195200</v>
      </c>
      <c r="M88" s="87">
        <f t="shared" si="3"/>
        <v>195200</v>
      </c>
      <c r="N88" s="89"/>
      <c r="O88" s="89"/>
      <c r="P88" s="48" t="s">
        <v>251</v>
      </c>
      <c r="Q88" s="48">
        <v>42819</v>
      </c>
      <c r="R88" s="49">
        <v>7281</v>
      </c>
    </row>
    <row r="89" spans="1:18" ht="38.25" x14ac:dyDescent="0.2">
      <c r="A89" s="45" t="s">
        <v>318</v>
      </c>
      <c r="B89" s="45">
        <v>23029</v>
      </c>
      <c r="C89" s="50" t="s">
        <v>319</v>
      </c>
      <c r="D89" s="50" t="s">
        <v>320</v>
      </c>
      <c r="E89" s="80" t="s">
        <v>129</v>
      </c>
      <c r="F89" s="81" t="s">
        <v>94</v>
      </c>
      <c r="G89" s="50" t="s">
        <v>321</v>
      </c>
      <c r="H89" s="88"/>
      <c r="I89" s="88"/>
      <c r="J89" s="89"/>
      <c r="K89" s="89">
        <v>68000</v>
      </c>
      <c r="L89" s="89">
        <f t="shared" si="2"/>
        <v>68000</v>
      </c>
      <c r="M89" s="87">
        <f t="shared" si="3"/>
        <v>68000</v>
      </c>
      <c r="N89" s="89"/>
      <c r="O89" s="89"/>
      <c r="P89" s="48" t="s">
        <v>322</v>
      </c>
      <c r="Q89" s="48">
        <v>41396</v>
      </c>
      <c r="R89" s="49">
        <v>8100</v>
      </c>
    </row>
    <row r="90" spans="1:18" ht="51" x14ac:dyDescent="0.2">
      <c r="A90" s="45" t="s">
        <v>323</v>
      </c>
      <c r="B90" s="45">
        <v>24663</v>
      </c>
      <c r="C90" s="50" t="s">
        <v>324</v>
      </c>
      <c r="D90" s="50" t="s">
        <v>325</v>
      </c>
      <c r="E90" s="80" t="s">
        <v>21</v>
      </c>
      <c r="F90" s="50" t="s">
        <v>109</v>
      </c>
      <c r="G90" s="50" t="s">
        <v>326</v>
      </c>
      <c r="H90" s="88">
        <v>1560</v>
      </c>
      <c r="I90" s="88"/>
      <c r="J90" s="89"/>
      <c r="K90" s="89"/>
      <c r="L90" s="89">
        <f t="shared" si="2"/>
        <v>1560</v>
      </c>
      <c r="M90" s="87">
        <f t="shared" si="3"/>
        <v>1560</v>
      </c>
      <c r="N90" s="89"/>
      <c r="O90" s="89"/>
      <c r="P90" s="48" t="s">
        <v>146</v>
      </c>
      <c r="Q90" s="48">
        <v>41123</v>
      </c>
      <c r="R90" s="49">
        <v>7291</v>
      </c>
    </row>
    <row r="91" spans="1:18" ht="63.75" x14ac:dyDescent="0.2">
      <c r="A91" s="54" t="s">
        <v>327</v>
      </c>
      <c r="B91" s="54">
        <v>18780</v>
      </c>
      <c r="C91" s="55" t="s">
        <v>66</v>
      </c>
      <c r="D91" s="55" t="s">
        <v>328</v>
      </c>
      <c r="E91" s="55" t="s">
        <v>329</v>
      </c>
      <c r="F91" s="82" t="s">
        <v>26</v>
      </c>
      <c r="G91" s="55" t="s">
        <v>330</v>
      </c>
      <c r="H91" s="90"/>
      <c r="I91" s="90">
        <v>26400</v>
      </c>
      <c r="J91" s="91"/>
      <c r="K91" s="91"/>
      <c r="L91" s="89">
        <f t="shared" si="2"/>
        <v>26400</v>
      </c>
      <c r="M91" s="87">
        <f t="shared" si="3"/>
        <v>26400</v>
      </c>
      <c r="N91" s="91"/>
      <c r="O91" s="91"/>
      <c r="P91" s="56">
        <v>41061</v>
      </c>
      <c r="Q91" s="48">
        <v>41426</v>
      </c>
      <c r="R91" s="49">
        <v>9513</v>
      </c>
    </row>
    <row r="92" spans="1:18" ht="25.5" x14ac:dyDescent="0.2">
      <c r="A92" s="45" t="s">
        <v>331</v>
      </c>
      <c r="B92" s="45">
        <v>19274</v>
      </c>
      <c r="C92" s="50" t="s">
        <v>238</v>
      </c>
      <c r="D92" s="50" t="s">
        <v>332</v>
      </c>
      <c r="E92" s="80" t="s">
        <v>329</v>
      </c>
      <c r="F92" s="50" t="s">
        <v>98</v>
      </c>
      <c r="G92" s="50" t="s">
        <v>333</v>
      </c>
      <c r="H92" s="88"/>
      <c r="I92" s="88">
        <v>21600</v>
      </c>
      <c r="J92" s="89"/>
      <c r="K92" s="89"/>
      <c r="L92" s="89">
        <f t="shared" si="2"/>
        <v>21600</v>
      </c>
      <c r="M92" s="87">
        <f t="shared" si="3"/>
        <v>21600</v>
      </c>
      <c r="N92" s="89"/>
      <c r="O92" s="89"/>
      <c r="P92" s="48" t="s">
        <v>146</v>
      </c>
      <c r="Q92" s="48">
        <v>41184</v>
      </c>
      <c r="R92" s="49">
        <v>7686</v>
      </c>
    </row>
    <row r="93" spans="1:18" ht="38.25" x14ac:dyDescent="0.2">
      <c r="A93" s="45" t="s">
        <v>334</v>
      </c>
      <c r="B93" s="45">
        <v>24487</v>
      </c>
      <c r="C93" s="50" t="s">
        <v>35</v>
      </c>
      <c r="D93" s="50" t="s">
        <v>335</v>
      </c>
      <c r="E93" s="80" t="s">
        <v>329</v>
      </c>
      <c r="F93" s="81" t="s">
        <v>45</v>
      </c>
      <c r="G93" s="50" t="s">
        <v>336</v>
      </c>
      <c r="H93" s="88"/>
      <c r="I93" s="88">
        <v>26400</v>
      </c>
      <c r="J93" s="89"/>
      <c r="K93" s="89"/>
      <c r="L93" s="89">
        <f t="shared" si="2"/>
        <v>26400</v>
      </c>
      <c r="M93" s="87">
        <f t="shared" si="3"/>
        <v>26400</v>
      </c>
      <c r="N93" s="89"/>
      <c r="O93" s="89"/>
      <c r="P93" s="48" t="s">
        <v>146</v>
      </c>
      <c r="Q93" s="48">
        <v>41366</v>
      </c>
      <c r="R93" s="49">
        <v>7507</v>
      </c>
    </row>
    <row r="94" spans="1:18" ht="63.75" x14ac:dyDescent="0.2">
      <c r="A94" s="45" t="s">
        <v>337</v>
      </c>
      <c r="B94" s="45">
        <v>24494</v>
      </c>
      <c r="C94" s="50" t="s">
        <v>35</v>
      </c>
      <c r="D94" s="50" t="s">
        <v>338</v>
      </c>
      <c r="E94" s="80" t="s">
        <v>329</v>
      </c>
      <c r="F94" s="50" t="s">
        <v>339</v>
      </c>
      <c r="G94" s="50" t="s">
        <v>340</v>
      </c>
      <c r="H94" s="88"/>
      <c r="I94" s="88">
        <v>21600</v>
      </c>
      <c r="J94" s="89"/>
      <c r="K94" s="89"/>
      <c r="L94" s="89">
        <f t="shared" si="2"/>
        <v>21600</v>
      </c>
      <c r="M94" s="87">
        <f t="shared" si="3"/>
        <v>21600</v>
      </c>
      <c r="N94" s="89"/>
      <c r="O94" s="89"/>
      <c r="P94" s="48" t="s">
        <v>146</v>
      </c>
      <c r="Q94" s="48">
        <v>41276</v>
      </c>
      <c r="R94" s="49">
        <v>7331</v>
      </c>
    </row>
    <row r="95" spans="1:18" ht="63.75" x14ac:dyDescent="0.2">
      <c r="A95" s="45" t="s">
        <v>341</v>
      </c>
      <c r="B95" s="45">
        <v>24499</v>
      </c>
      <c r="C95" s="50" t="s">
        <v>263</v>
      </c>
      <c r="D95" s="50" t="s">
        <v>342</v>
      </c>
      <c r="E95" s="80" t="s">
        <v>329</v>
      </c>
      <c r="F95" s="50" t="s">
        <v>26</v>
      </c>
      <c r="G95" s="50" t="s">
        <v>343</v>
      </c>
      <c r="H95" s="88"/>
      <c r="I95" s="88">
        <v>26400</v>
      </c>
      <c r="J95" s="89"/>
      <c r="K95" s="89"/>
      <c r="L95" s="89">
        <f t="shared" si="2"/>
        <v>26400</v>
      </c>
      <c r="M95" s="87">
        <f t="shared" si="3"/>
        <v>26400</v>
      </c>
      <c r="N95" s="89"/>
      <c r="O95" s="89"/>
      <c r="P95" s="48" t="s">
        <v>146</v>
      </c>
      <c r="Q95" s="48">
        <v>41366</v>
      </c>
      <c r="R95" s="49">
        <v>7508</v>
      </c>
    </row>
    <row r="96" spans="1:18" ht="63.75" x14ac:dyDescent="0.2">
      <c r="A96" s="45" t="s">
        <v>344</v>
      </c>
      <c r="B96" s="45">
        <v>24504</v>
      </c>
      <c r="C96" s="50" t="s">
        <v>238</v>
      </c>
      <c r="D96" s="50" t="s">
        <v>345</v>
      </c>
      <c r="E96" s="80" t="s">
        <v>329</v>
      </c>
      <c r="F96" s="50" t="s">
        <v>240</v>
      </c>
      <c r="G96" s="50" t="s">
        <v>346</v>
      </c>
      <c r="H96" s="88"/>
      <c r="I96" s="88">
        <v>21600</v>
      </c>
      <c r="J96" s="89"/>
      <c r="K96" s="89"/>
      <c r="L96" s="89">
        <f t="shared" si="2"/>
        <v>21600</v>
      </c>
      <c r="M96" s="87">
        <f t="shared" si="3"/>
        <v>21600</v>
      </c>
      <c r="N96" s="89"/>
      <c r="O96" s="89" t="s">
        <v>347</v>
      </c>
      <c r="P96" s="48" t="s">
        <v>146</v>
      </c>
      <c r="Q96" s="48">
        <v>41258</v>
      </c>
      <c r="R96" s="49">
        <v>7590</v>
      </c>
    </row>
    <row r="97" spans="1:18" ht="38.25" x14ac:dyDescent="0.2">
      <c r="A97" s="45" t="s">
        <v>348</v>
      </c>
      <c r="B97" s="45">
        <v>24506</v>
      </c>
      <c r="C97" s="50" t="s">
        <v>349</v>
      </c>
      <c r="D97" s="50" t="s">
        <v>350</v>
      </c>
      <c r="E97" s="80" t="s">
        <v>329</v>
      </c>
      <c r="F97" s="50" t="s">
        <v>26</v>
      </c>
      <c r="G97" s="50" t="s">
        <v>351</v>
      </c>
      <c r="H97" s="88"/>
      <c r="I97" s="88">
        <v>36000</v>
      </c>
      <c r="J97" s="89"/>
      <c r="K97" s="89"/>
      <c r="L97" s="89">
        <f t="shared" si="2"/>
        <v>36000</v>
      </c>
      <c r="M97" s="87">
        <f t="shared" si="3"/>
        <v>36000</v>
      </c>
      <c r="N97" s="89"/>
      <c r="O97" s="89"/>
      <c r="P97" s="48" t="s">
        <v>322</v>
      </c>
      <c r="Q97" s="48">
        <v>40970</v>
      </c>
      <c r="R97" s="49">
        <v>8793</v>
      </c>
    </row>
    <row r="98" spans="1:18" ht="25.5" x14ac:dyDescent="0.2">
      <c r="A98" s="45" t="s">
        <v>352</v>
      </c>
      <c r="B98" s="45">
        <v>24520</v>
      </c>
      <c r="C98" s="50" t="s">
        <v>19</v>
      </c>
      <c r="D98" s="50" t="s">
        <v>353</v>
      </c>
      <c r="E98" s="80" t="s">
        <v>329</v>
      </c>
      <c r="F98" s="50" t="s">
        <v>354</v>
      </c>
      <c r="G98" s="50" t="s">
        <v>355</v>
      </c>
      <c r="H98" s="88"/>
      <c r="I98" s="88">
        <v>26400</v>
      </c>
      <c r="J98" s="89"/>
      <c r="K98" s="89"/>
      <c r="L98" s="89">
        <f t="shared" si="2"/>
        <v>26400</v>
      </c>
      <c r="M98" s="87">
        <f t="shared" si="3"/>
        <v>26400</v>
      </c>
      <c r="N98" s="89"/>
      <c r="O98" s="89"/>
      <c r="P98" s="48" t="s">
        <v>146</v>
      </c>
      <c r="Q98" s="48">
        <v>41366</v>
      </c>
      <c r="R98" s="49">
        <v>7334</v>
      </c>
    </row>
    <row r="99" spans="1:18" ht="25.5" x14ac:dyDescent="0.2">
      <c r="A99" s="45" t="s">
        <v>356</v>
      </c>
      <c r="B99" s="45">
        <v>24542</v>
      </c>
      <c r="C99" s="50" t="s">
        <v>35</v>
      </c>
      <c r="D99" s="50" t="s">
        <v>357</v>
      </c>
      <c r="E99" s="80" t="s">
        <v>329</v>
      </c>
      <c r="F99" s="50" t="s">
        <v>45</v>
      </c>
      <c r="G99" s="50" t="s">
        <v>358</v>
      </c>
      <c r="H99" s="88"/>
      <c r="I99" s="88">
        <v>26400</v>
      </c>
      <c r="J99" s="89"/>
      <c r="K99" s="89"/>
      <c r="L99" s="89">
        <f t="shared" si="2"/>
        <v>26400</v>
      </c>
      <c r="M99" s="87">
        <f t="shared" si="3"/>
        <v>26400</v>
      </c>
      <c r="N99" s="89"/>
      <c r="O99" s="89"/>
      <c r="P99" s="48" t="s">
        <v>146</v>
      </c>
      <c r="Q99" s="48">
        <v>41366</v>
      </c>
      <c r="R99" s="49">
        <v>7551</v>
      </c>
    </row>
    <row r="100" spans="1:18" ht="38.25" x14ac:dyDescent="0.2">
      <c r="A100" s="45" t="s">
        <v>359</v>
      </c>
      <c r="B100" s="45">
        <v>24565</v>
      </c>
      <c r="C100" s="50" t="s">
        <v>66</v>
      </c>
      <c r="D100" s="50" t="s">
        <v>360</v>
      </c>
      <c r="E100" s="80" t="s">
        <v>329</v>
      </c>
      <c r="F100" s="50" t="s">
        <v>22</v>
      </c>
      <c r="G100" s="50" t="s">
        <v>361</v>
      </c>
      <c r="H100" s="88"/>
      <c r="I100" s="88">
        <v>26400</v>
      </c>
      <c r="J100" s="89"/>
      <c r="K100" s="89"/>
      <c r="L100" s="89">
        <f t="shared" si="2"/>
        <v>26400</v>
      </c>
      <c r="M100" s="87">
        <f t="shared" si="3"/>
        <v>26400</v>
      </c>
      <c r="N100" s="89"/>
      <c r="O100" s="89"/>
      <c r="P100" s="48" t="s">
        <v>146</v>
      </c>
      <c r="Q100" s="48">
        <v>41366</v>
      </c>
      <c r="R100" s="49">
        <v>7556</v>
      </c>
    </row>
    <row r="101" spans="1:18" ht="38.25" x14ac:dyDescent="0.2">
      <c r="A101" s="45" t="s">
        <v>362</v>
      </c>
      <c r="B101" s="45">
        <v>24616</v>
      </c>
      <c r="C101" s="50" t="s">
        <v>238</v>
      </c>
      <c r="D101" s="50" t="s">
        <v>363</v>
      </c>
      <c r="E101" s="80" t="s">
        <v>329</v>
      </c>
      <c r="F101" s="50" t="s">
        <v>98</v>
      </c>
      <c r="G101" s="50" t="s">
        <v>364</v>
      </c>
      <c r="H101" s="88"/>
      <c r="I101" s="88">
        <v>28800</v>
      </c>
      <c r="J101" s="89"/>
      <c r="K101" s="89"/>
      <c r="L101" s="89">
        <f t="shared" si="2"/>
        <v>28800</v>
      </c>
      <c r="M101" s="87">
        <f t="shared" si="3"/>
        <v>28800</v>
      </c>
      <c r="N101" s="89"/>
      <c r="O101" s="89"/>
      <c r="P101" s="48" t="s">
        <v>146</v>
      </c>
      <c r="Q101" s="48">
        <v>41245</v>
      </c>
      <c r="R101" s="49">
        <v>7692</v>
      </c>
    </row>
    <row r="102" spans="1:18" ht="25.5" x14ac:dyDescent="0.2">
      <c r="A102" s="45" t="s">
        <v>365</v>
      </c>
      <c r="B102" s="45">
        <v>24630</v>
      </c>
      <c r="C102" s="50" t="s">
        <v>19</v>
      </c>
      <c r="D102" s="50" t="s">
        <v>366</v>
      </c>
      <c r="E102" s="80" t="s">
        <v>329</v>
      </c>
      <c r="F102" s="50" t="s">
        <v>121</v>
      </c>
      <c r="G102" s="50" t="s">
        <v>367</v>
      </c>
      <c r="H102" s="88"/>
      <c r="I102" s="88">
        <v>26400</v>
      </c>
      <c r="J102" s="89"/>
      <c r="K102" s="89"/>
      <c r="L102" s="89">
        <f t="shared" si="2"/>
        <v>26400</v>
      </c>
      <c r="M102" s="87">
        <f t="shared" si="3"/>
        <v>26400</v>
      </c>
      <c r="N102" s="89"/>
      <c r="O102" s="89"/>
      <c r="P102" s="48" t="s">
        <v>146</v>
      </c>
      <c r="Q102" s="48">
        <v>41366</v>
      </c>
      <c r="R102" s="49">
        <v>7553</v>
      </c>
    </row>
    <row r="103" spans="1:18" ht="38.25" x14ac:dyDescent="0.2">
      <c r="A103" s="45" t="s">
        <v>368</v>
      </c>
      <c r="B103" s="45">
        <v>21772</v>
      </c>
      <c r="C103" s="50" t="s">
        <v>369</v>
      </c>
      <c r="D103" s="50" t="s">
        <v>370</v>
      </c>
      <c r="E103" s="80" t="s">
        <v>21</v>
      </c>
      <c r="F103" s="50" t="s">
        <v>193</v>
      </c>
      <c r="G103" s="50" t="s">
        <v>371</v>
      </c>
      <c r="H103" s="88">
        <v>600</v>
      </c>
      <c r="I103" s="88"/>
      <c r="J103" s="89"/>
      <c r="K103" s="89"/>
      <c r="L103" s="89">
        <f t="shared" si="2"/>
        <v>600</v>
      </c>
      <c r="M103" s="87">
        <f t="shared" si="3"/>
        <v>600</v>
      </c>
      <c r="N103" s="89"/>
      <c r="O103" s="89"/>
      <c r="P103" s="48">
        <v>40994</v>
      </c>
      <c r="Q103" s="48">
        <v>41116</v>
      </c>
      <c r="R103" s="49">
        <v>7337</v>
      </c>
    </row>
    <row r="104" spans="1:18" ht="38.25" x14ac:dyDescent="0.2">
      <c r="A104" s="45" t="s">
        <v>372</v>
      </c>
      <c r="B104" s="45">
        <v>22623</v>
      </c>
      <c r="C104" s="50" t="s">
        <v>19</v>
      </c>
      <c r="D104" s="50" t="s">
        <v>299</v>
      </c>
      <c r="E104" s="80" t="s">
        <v>373</v>
      </c>
      <c r="F104" s="81" t="s">
        <v>26</v>
      </c>
      <c r="G104" s="50" t="s">
        <v>374</v>
      </c>
      <c r="H104" s="88"/>
      <c r="I104" s="88">
        <v>72000</v>
      </c>
      <c r="J104" s="89"/>
      <c r="K104" s="89"/>
      <c r="L104" s="89">
        <f t="shared" si="2"/>
        <v>72000</v>
      </c>
      <c r="M104" s="87">
        <f t="shared" si="3"/>
        <v>72000</v>
      </c>
      <c r="N104" s="89"/>
      <c r="O104" s="89"/>
      <c r="P104" s="48">
        <v>41001</v>
      </c>
      <c r="Q104" s="48">
        <v>41731</v>
      </c>
      <c r="R104" s="49">
        <v>7341</v>
      </c>
    </row>
    <row r="105" spans="1:18" ht="38.25" x14ac:dyDescent="0.2">
      <c r="A105" s="45" t="s">
        <v>375</v>
      </c>
      <c r="B105" s="45">
        <v>24427</v>
      </c>
      <c r="C105" s="50" t="s">
        <v>19</v>
      </c>
      <c r="D105" s="50" t="s">
        <v>376</v>
      </c>
      <c r="E105" s="80" t="s">
        <v>373</v>
      </c>
      <c r="F105" s="50" t="s">
        <v>167</v>
      </c>
      <c r="G105" s="50" t="s">
        <v>377</v>
      </c>
      <c r="H105" s="88"/>
      <c r="I105" s="88">
        <v>144000</v>
      </c>
      <c r="J105" s="89"/>
      <c r="K105" s="89"/>
      <c r="L105" s="89">
        <f t="shared" si="2"/>
        <v>144000</v>
      </c>
      <c r="M105" s="87">
        <f t="shared" si="3"/>
        <v>144000</v>
      </c>
      <c r="N105" s="89"/>
      <c r="O105" s="89"/>
      <c r="P105" s="48">
        <v>41001</v>
      </c>
      <c r="Q105" s="48">
        <v>42096</v>
      </c>
      <c r="R105" s="49">
        <v>7350</v>
      </c>
    </row>
    <row r="106" spans="1:18" ht="25.5" x14ac:dyDescent="0.2">
      <c r="A106" s="45" t="s">
        <v>378</v>
      </c>
      <c r="B106" s="45">
        <v>24243</v>
      </c>
      <c r="C106" s="50" t="s">
        <v>35</v>
      </c>
      <c r="D106" s="50" t="s">
        <v>379</v>
      </c>
      <c r="E106" s="80" t="s">
        <v>373</v>
      </c>
      <c r="F106" s="81" t="s">
        <v>87</v>
      </c>
      <c r="G106" s="50" t="s">
        <v>380</v>
      </c>
      <c r="H106" s="88"/>
      <c r="I106" s="88">
        <v>108000</v>
      </c>
      <c r="J106" s="89"/>
      <c r="K106" s="89"/>
      <c r="L106" s="89">
        <f t="shared" si="2"/>
        <v>108000</v>
      </c>
      <c r="M106" s="87">
        <f t="shared" si="3"/>
        <v>108000</v>
      </c>
      <c r="N106" s="89"/>
      <c r="O106" s="89"/>
      <c r="P106" s="48">
        <v>41001</v>
      </c>
      <c r="Q106" s="48">
        <v>42096</v>
      </c>
      <c r="R106" s="49">
        <v>7351</v>
      </c>
    </row>
    <row r="107" spans="1:18" ht="38.25" x14ac:dyDescent="0.2">
      <c r="A107" s="45" t="s">
        <v>381</v>
      </c>
      <c r="B107" s="45">
        <v>24459</v>
      </c>
      <c r="C107" s="50" t="s">
        <v>35</v>
      </c>
      <c r="D107" s="50" t="s">
        <v>176</v>
      </c>
      <c r="E107" s="80" t="s">
        <v>373</v>
      </c>
      <c r="F107" s="81" t="s">
        <v>26</v>
      </c>
      <c r="G107" s="50" t="s">
        <v>382</v>
      </c>
      <c r="H107" s="88"/>
      <c r="I107" s="88">
        <v>108000</v>
      </c>
      <c r="J107" s="89"/>
      <c r="K107" s="89"/>
      <c r="L107" s="89">
        <f t="shared" si="2"/>
        <v>108000</v>
      </c>
      <c r="M107" s="87">
        <f t="shared" si="3"/>
        <v>108000</v>
      </c>
      <c r="N107" s="89"/>
      <c r="O107" s="89"/>
      <c r="P107" s="48">
        <v>41001</v>
      </c>
      <c r="Q107" s="48">
        <v>42096</v>
      </c>
      <c r="R107" s="49">
        <v>7357</v>
      </c>
    </row>
    <row r="108" spans="1:18" ht="25.5" x14ac:dyDescent="0.2">
      <c r="A108" s="45" t="s">
        <v>383</v>
      </c>
      <c r="B108" s="45">
        <v>23435</v>
      </c>
      <c r="C108" s="50" t="s">
        <v>43</v>
      </c>
      <c r="D108" s="50" t="s">
        <v>384</v>
      </c>
      <c r="E108" s="80" t="s">
        <v>373</v>
      </c>
      <c r="F108" s="50" t="s">
        <v>87</v>
      </c>
      <c r="G108" s="50" t="s">
        <v>385</v>
      </c>
      <c r="H108" s="88"/>
      <c r="I108" s="88">
        <v>144000</v>
      </c>
      <c r="J108" s="89"/>
      <c r="K108" s="89"/>
      <c r="L108" s="89">
        <f t="shared" si="2"/>
        <v>144000</v>
      </c>
      <c r="M108" s="87">
        <f t="shared" si="3"/>
        <v>144000</v>
      </c>
      <c r="N108" s="89"/>
      <c r="O108" s="89"/>
      <c r="P108" s="48">
        <v>41001</v>
      </c>
      <c r="Q108" s="48">
        <v>42462</v>
      </c>
      <c r="R108" s="49">
        <v>9026</v>
      </c>
    </row>
    <row r="109" spans="1:18" ht="38.25" x14ac:dyDescent="0.2">
      <c r="A109" s="45" t="s">
        <v>386</v>
      </c>
      <c r="B109" s="45">
        <v>24805</v>
      </c>
      <c r="C109" s="50" t="s">
        <v>19</v>
      </c>
      <c r="D109" s="50" t="s">
        <v>387</v>
      </c>
      <c r="E109" s="80" t="s">
        <v>21</v>
      </c>
      <c r="F109" s="50" t="s">
        <v>26</v>
      </c>
      <c r="G109" s="50" t="s">
        <v>388</v>
      </c>
      <c r="H109" s="88">
        <v>1072.5</v>
      </c>
      <c r="I109" s="88"/>
      <c r="J109" s="89"/>
      <c r="K109" s="89"/>
      <c r="L109" s="89">
        <f t="shared" si="2"/>
        <v>1072.5</v>
      </c>
      <c r="M109" s="87">
        <f t="shared" si="3"/>
        <v>1072.5</v>
      </c>
      <c r="N109" s="89"/>
      <c r="O109" s="89"/>
      <c r="P109" s="48">
        <v>41001</v>
      </c>
      <c r="Q109" s="48">
        <v>41123</v>
      </c>
      <c r="R109" s="49">
        <v>7364</v>
      </c>
    </row>
    <row r="110" spans="1:18" ht="25.5" x14ac:dyDescent="0.2">
      <c r="A110" s="45" t="s">
        <v>389</v>
      </c>
      <c r="B110" s="45">
        <v>1499</v>
      </c>
      <c r="C110" s="50" t="s">
        <v>390</v>
      </c>
      <c r="D110" s="50" t="s">
        <v>391</v>
      </c>
      <c r="E110" s="80" t="s">
        <v>308</v>
      </c>
      <c r="F110" s="50" t="s">
        <v>26</v>
      </c>
      <c r="G110" s="50" t="s">
        <v>392</v>
      </c>
      <c r="H110" s="88">
        <v>10431.34</v>
      </c>
      <c r="I110" s="88"/>
      <c r="J110" s="89"/>
      <c r="K110" s="89"/>
      <c r="L110" s="89">
        <f t="shared" si="2"/>
        <v>10431.34</v>
      </c>
      <c r="M110" s="87">
        <f t="shared" si="3"/>
        <v>10431.34</v>
      </c>
      <c r="N110" s="89"/>
      <c r="O110" s="89"/>
      <c r="P110" s="48">
        <v>41001</v>
      </c>
      <c r="Q110" s="48">
        <v>41184</v>
      </c>
      <c r="R110" s="49">
        <v>7832</v>
      </c>
    </row>
    <row r="111" spans="1:18" ht="25.5" x14ac:dyDescent="0.2">
      <c r="A111" s="45" t="s">
        <v>393</v>
      </c>
      <c r="B111" s="45">
        <v>1521</v>
      </c>
      <c r="C111" s="50" t="s">
        <v>35</v>
      </c>
      <c r="D111" s="50" t="s">
        <v>394</v>
      </c>
      <c r="E111" s="80" t="s">
        <v>308</v>
      </c>
      <c r="F111" s="50" t="s">
        <v>98</v>
      </c>
      <c r="G111" s="50" t="s">
        <v>395</v>
      </c>
      <c r="H111" s="88">
        <v>4280</v>
      </c>
      <c r="I111" s="88"/>
      <c r="J111" s="89"/>
      <c r="K111" s="89"/>
      <c r="L111" s="89">
        <f t="shared" si="2"/>
        <v>4280</v>
      </c>
      <c r="M111" s="87">
        <f t="shared" si="3"/>
        <v>4280</v>
      </c>
      <c r="N111" s="89"/>
      <c r="O111" s="89"/>
      <c r="P111" s="48" t="s">
        <v>261</v>
      </c>
      <c r="Q111" s="48">
        <v>41186</v>
      </c>
      <c r="R111" s="49">
        <v>7822</v>
      </c>
    </row>
    <row r="112" spans="1:18" ht="25.5" x14ac:dyDescent="0.2">
      <c r="A112" s="45" t="s">
        <v>396</v>
      </c>
      <c r="B112" s="45">
        <v>1477</v>
      </c>
      <c r="C112" s="50" t="s">
        <v>390</v>
      </c>
      <c r="D112" s="50" t="s">
        <v>397</v>
      </c>
      <c r="E112" s="80" t="s">
        <v>308</v>
      </c>
      <c r="F112" s="50" t="s">
        <v>398</v>
      </c>
      <c r="G112" s="50" t="s">
        <v>399</v>
      </c>
      <c r="H112" s="88">
        <v>5526.44</v>
      </c>
      <c r="I112" s="88"/>
      <c r="J112" s="89"/>
      <c r="K112" s="89"/>
      <c r="L112" s="89">
        <f t="shared" si="2"/>
        <v>5526.44</v>
      </c>
      <c r="M112" s="87">
        <f t="shared" si="3"/>
        <v>5526.44</v>
      </c>
      <c r="N112" s="89"/>
      <c r="O112" s="89"/>
      <c r="P112" s="48" t="s">
        <v>146</v>
      </c>
      <c r="Q112" s="48">
        <v>41184</v>
      </c>
      <c r="R112" s="49">
        <v>7811</v>
      </c>
    </row>
    <row r="113" spans="1:18" ht="25.5" x14ac:dyDescent="0.2">
      <c r="A113" s="45" t="s">
        <v>400</v>
      </c>
      <c r="B113" s="45">
        <v>1508</v>
      </c>
      <c r="C113" s="50" t="s">
        <v>19</v>
      </c>
      <c r="D113" s="50" t="s">
        <v>401</v>
      </c>
      <c r="E113" s="80" t="s">
        <v>308</v>
      </c>
      <c r="F113" s="81" t="s">
        <v>26</v>
      </c>
      <c r="G113" s="50" t="s">
        <v>402</v>
      </c>
      <c r="H113" s="88">
        <v>12080</v>
      </c>
      <c r="I113" s="88"/>
      <c r="J113" s="89"/>
      <c r="K113" s="89"/>
      <c r="L113" s="89">
        <f t="shared" si="2"/>
        <v>12080</v>
      </c>
      <c r="M113" s="87">
        <f t="shared" si="3"/>
        <v>12080</v>
      </c>
      <c r="N113" s="89"/>
      <c r="O113" s="89"/>
      <c r="P113" s="48" t="s">
        <v>269</v>
      </c>
      <c r="Q113" s="48">
        <v>41191</v>
      </c>
      <c r="R113" s="49">
        <v>8137</v>
      </c>
    </row>
    <row r="114" spans="1:18" ht="38.25" x14ac:dyDescent="0.2">
      <c r="A114" s="45" t="s">
        <v>403</v>
      </c>
      <c r="B114" s="45">
        <v>1488</v>
      </c>
      <c r="C114" s="50" t="s">
        <v>19</v>
      </c>
      <c r="D114" s="50" t="s">
        <v>404</v>
      </c>
      <c r="E114" s="80" t="s">
        <v>308</v>
      </c>
      <c r="F114" s="81" t="s">
        <v>26</v>
      </c>
      <c r="G114" s="50" t="s">
        <v>405</v>
      </c>
      <c r="H114" s="88">
        <v>2452</v>
      </c>
      <c r="I114" s="88"/>
      <c r="J114" s="89"/>
      <c r="K114" s="89"/>
      <c r="L114" s="89">
        <f t="shared" si="2"/>
        <v>2452</v>
      </c>
      <c r="M114" s="87">
        <f t="shared" si="3"/>
        <v>2452</v>
      </c>
      <c r="N114" s="89"/>
      <c r="O114" s="89"/>
      <c r="P114" s="48" t="s">
        <v>294</v>
      </c>
      <c r="Q114" s="48">
        <v>41198</v>
      </c>
      <c r="R114" s="49">
        <v>8136</v>
      </c>
    </row>
    <row r="115" spans="1:18" ht="25.5" x14ac:dyDescent="0.2">
      <c r="A115" s="45" t="s">
        <v>406</v>
      </c>
      <c r="B115" s="45">
        <v>1502</v>
      </c>
      <c r="C115" s="50" t="s">
        <v>407</v>
      </c>
      <c r="D115" s="50" t="s">
        <v>408</v>
      </c>
      <c r="E115" s="80" t="s">
        <v>308</v>
      </c>
      <c r="F115" s="50" t="s">
        <v>98</v>
      </c>
      <c r="G115" s="50" t="s">
        <v>409</v>
      </c>
      <c r="H115" s="88">
        <v>8772</v>
      </c>
      <c r="I115" s="88"/>
      <c r="J115" s="89"/>
      <c r="K115" s="89"/>
      <c r="L115" s="89">
        <f t="shared" si="2"/>
        <v>8772</v>
      </c>
      <c r="M115" s="87">
        <f t="shared" si="3"/>
        <v>8772</v>
      </c>
      <c r="N115" s="89"/>
      <c r="O115" s="89"/>
      <c r="P115" s="51" t="s">
        <v>269</v>
      </c>
      <c r="Q115" s="48">
        <v>41191</v>
      </c>
      <c r="R115" s="53">
        <v>7777</v>
      </c>
    </row>
    <row r="116" spans="1:18" ht="25.5" x14ac:dyDescent="0.2">
      <c r="A116" s="45" t="s">
        <v>410</v>
      </c>
      <c r="B116" s="45">
        <v>1487</v>
      </c>
      <c r="C116" s="50" t="s">
        <v>113</v>
      </c>
      <c r="D116" s="50" t="s">
        <v>411</v>
      </c>
      <c r="E116" s="80" t="s">
        <v>308</v>
      </c>
      <c r="F116" s="50" t="s">
        <v>121</v>
      </c>
      <c r="G116" s="50" t="s">
        <v>412</v>
      </c>
      <c r="H116" s="88">
        <v>5550</v>
      </c>
      <c r="I116" s="88"/>
      <c r="J116" s="89"/>
      <c r="K116" s="89"/>
      <c r="L116" s="89">
        <f t="shared" si="2"/>
        <v>5550</v>
      </c>
      <c r="M116" s="87">
        <f t="shared" si="3"/>
        <v>5550</v>
      </c>
      <c r="N116" s="89"/>
      <c r="O116" s="89"/>
      <c r="P116" s="48" t="s">
        <v>146</v>
      </c>
      <c r="Q116" s="48">
        <v>41184</v>
      </c>
      <c r="R116" s="49">
        <v>7764</v>
      </c>
    </row>
    <row r="117" spans="1:18" ht="25.5" x14ac:dyDescent="0.2">
      <c r="A117" s="45" t="s">
        <v>413</v>
      </c>
      <c r="B117" s="45">
        <v>1469</v>
      </c>
      <c r="C117" s="50" t="s">
        <v>414</v>
      </c>
      <c r="D117" s="50" t="s">
        <v>415</v>
      </c>
      <c r="E117" s="80" t="s">
        <v>308</v>
      </c>
      <c r="F117" s="50" t="s">
        <v>98</v>
      </c>
      <c r="G117" s="50" t="s">
        <v>416</v>
      </c>
      <c r="H117" s="88">
        <v>4296</v>
      </c>
      <c r="I117" s="88"/>
      <c r="J117" s="89"/>
      <c r="K117" s="89"/>
      <c r="L117" s="89">
        <f t="shared" si="2"/>
        <v>4296</v>
      </c>
      <c r="M117" s="87">
        <f t="shared" si="3"/>
        <v>4296</v>
      </c>
      <c r="N117" s="89"/>
      <c r="O117" s="89"/>
      <c r="P117" s="48" t="s">
        <v>294</v>
      </c>
      <c r="Q117" s="48">
        <v>41198</v>
      </c>
      <c r="R117" s="49">
        <v>7760</v>
      </c>
    </row>
    <row r="118" spans="1:18" ht="38.25" x14ac:dyDescent="0.2">
      <c r="A118" s="45" t="s">
        <v>417</v>
      </c>
      <c r="B118" s="45">
        <v>1483</v>
      </c>
      <c r="C118" s="50" t="s">
        <v>35</v>
      </c>
      <c r="D118" s="50" t="s">
        <v>418</v>
      </c>
      <c r="E118" s="80" t="s">
        <v>308</v>
      </c>
      <c r="F118" s="50" t="s">
        <v>22</v>
      </c>
      <c r="G118" s="50" t="s">
        <v>419</v>
      </c>
      <c r="H118" s="88">
        <v>20050</v>
      </c>
      <c r="I118" s="88"/>
      <c r="J118" s="89"/>
      <c r="K118" s="89"/>
      <c r="L118" s="89">
        <f t="shared" si="2"/>
        <v>20050</v>
      </c>
      <c r="M118" s="87">
        <f t="shared" si="3"/>
        <v>20050</v>
      </c>
      <c r="N118" s="89"/>
      <c r="O118" s="89"/>
      <c r="P118" s="48" t="s">
        <v>420</v>
      </c>
      <c r="Q118" s="48">
        <v>41187</v>
      </c>
      <c r="R118" s="49">
        <v>7758</v>
      </c>
    </row>
    <row r="119" spans="1:18" ht="25.5" x14ac:dyDescent="0.2">
      <c r="A119" s="45" t="s">
        <v>421</v>
      </c>
      <c r="B119" s="45">
        <v>1525</v>
      </c>
      <c r="C119" s="50" t="s">
        <v>66</v>
      </c>
      <c r="D119" s="50" t="s">
        <v>422</v>
      </c>
      <c r="E119" s="80" t="s">
        <v>308</v>
      </c>
      <c r="F119" s="50" t="s">
        <v>121</v>
      </c>
      <c r="G119" s="50" t="s">
        <v>423</v>
      </c>
      <c r="H119" s="88">
        <v>1812</v>
      </c>
      <c r="I119" s="88"/>
      <c r="J119" s="89"/>
      <c r="K119" s="89"/>
      <c r="L119" s="89">
        <f t="shared" si="2"/>
        <v>1812</v>
      </c>
      <c r="M119" s="87">
        <f t="shared" si="3"/>
        <v>1812</v>
      </c>
      <c r="N119" s="89"/>
      <c r="O119" s="89"/>
      <c r="P119" s="48" t="s">
        <v>294</v>
      </c>
      <c r="Q119" s="48">
        <v>41198</v>
      </c>
      <c r="R119" s="49">
        <v>7616</v>
      </c>
    </row>
    <row r="120" spans="1:18" ht="51" x14ac:dyDescent="0.2">
      <c r="A120" s="45" t="s">
        <v>424</v>
      </c>
      <c r="B120" s="45">
        <v>1493</v>
      </c>
      <c r="C120" s="50" t="s">
        <v>48</v>
      </c>
      <c r="D120" s="50" t="s">
        <v>425</v>
      </c>
      <c r="E120" s="80" t="s">
        <v>308</v>
      </c>
      <c r="F120" s="50" t="s">
        <v>71</v>
      </c>
      <c r="G120" s="50" t="s">
        <v>426</v>
      </c>
      <c r="H120" s="88">
        <v>2590</v>
      </c>
      <c r="I120" s="88"/>
      <c r="J120" s="89"/>
      <c r="K120" s="89"/>
      <c r="L120" s="89">
        <f t="shared" si="2"/>
        <v>2590</v>
      </c>
      <c r="M120" s="87">
        <f t="shared" si="3"/>
        <v>2590</v>
      </c>
      <c r="N120" s="89"/>
      <c r="O120" s="89"/>
      <c r="P120" s="48" t="s">
        <v>294</v>
      </c>
      <c r="Q120" s="48">
        <v>41198</v>
      </c>
      <c r="R120" s="49">
        <v>7622</v>
      </c>
    </row>
    <row r="121" spans="1:18" ht="38.25" x14ac:dyDescent="0.2">
      <c r="A121" s="45" t="s">
        <v>427</v>
      </c>
      <c r="B121" s="45">
        <v>1492</v>
      </c>
      <c r="C121" s="50" t="s">
        <v>19</v>
      </c>
      <c r="D121" s="50" t="s">
        <v>428</v>
      </c>
      <c r="E121" s="80" t="s">
        <v>308</v>
      </c>
      <c r="F121" s="81" t="s">
        <v>63</v>
      </c>
      <c r="G121" s="50" t="s">
        <v>429</v>
      </c>
      <c r="H121" s="88">
        <v>13071.9</v>
      </c>
      <c r="I121" s="88"/>
      <c r="J121" s="89"/>
      <c r="K121" s="89"/>
      <c r="L121" s="89">
        <f t="shared" si="2"/>
        <v>13071.9</v>
      </c>
      <c r="M121" s="87">
        <f t="shared" si="3"/>
        <v>13071.9</v>
      </c>
      <c r="N121" s="89"/>
      <c r="O121" s="89"/>
      <c r="P121" s="48" t="s">
        <v>430</v>
      </c>
      <c r="Q121" s="48">
        <v>41200</v>
      </c>
      <c r="R121" s="49">
        <v>8104</v>
      </c>
    </row>
    <row r="122" spans="1:18" ht="38.25" x14ac:dyDescent="0.2">
      <c r="A122" s="45" t="s">
        <v>431</v>
      </c>
      <c r="B122" s="45">
        <v>16580</v>
      </c>
      <c r="C122" s="50" t="s">
        <v>432</v>
      </c>
      <c r="D122" s="50" t="s">
        <v>433</v>
      </c>
      <c r="E122" s="80" t="s">
        <v>129</v>
      </c>
      <c r="F122" s="50" t="s">
        <v>63</v>
      </c>
      <c r="G122" s="50" t="s">
        <v>434</v>
      </c>
      <c r="H122" s="88"/>
      <c r="I122" s="88"/>
      <c r="J122" s="89"/>
      <c r="K122" s="89">
        <v>152101</v>
      </c>
      <c r="L122" s="89">
        <f t="shared" si="2"/>
        <v>152101</v>
      </c>
      <c r="M122" s="87">
        <f t="shared" si="3"/>
        <v>152101</v>
      </c>
      <c r="N122" s="89"/>
      <c r="O122" s="89"/>
      <c r="P122" s="48">
        <v>41024</v>
      </c>
      <c r="Q122" s="48">
        <v>42210</v>
      </c>
      <c r="R122" s="49">
        <v>8798</v>
      </c>
    </row>
    <row r="123" spans="1:18" ht="38.25" x14ac:dyDescent="0.2">
      <c r="A123" s="46" t="s">
        <v>435</v>
      </c>
      <c r="B123" s="46">
        <v>18700</v>
      </c>
      <c r="C123" s="80" t="s">
        <v>43</v>
      </c>
      <c r="D123" s="80" t="s">
        <v>436</v>
      </c>
      <c r="E123" s="80" t="s">
        <v>21</v>
      </c>
      <c r="F123" s="80" t="s">
        <v>63</v>
      </c>
      <c r="G123" s="80" t="s">
        <v>437</v>
      </c>
      <c r="H123" s="88">
        <v>5221.6400000000003</v>
      </c>
      <c r="I123" s="88"/>
      <c r="J123" s="89"/>
      <c r="K123" s="89"/>
      <c r="L123" s="89">
        <f t="shared" si="2"/>
        <v>5221.6400000000003</v>
      </c>
      <c r="M123" s="87">
        <f t="shared" si="3"/>
        <v>5221.6400000000003</v>
      </c>
      <c r="N123" s="89"/>
      <c r="O123" s="89"/>
      <c r="P123" s="51">
        <v>41031</v>
      </c>
      <c r="Q123" s="48">
        <v>41273</v>
      </c>
      <c r="R123" s="49">
        <v>9111</v>
      </c>
    </row>
    <row r="124" spans="1:18" ht="38.25" x14ac:dyDescent="0.2">
      <c r="A124" s="45" t="s">
        <v>438</v>
      </c>
      <c r="B124" s="45">
        <v>24657</v>
      </c>
      <c r="C124" s="50" t="s">
        <v>35</v>
      </c>
      <c r="D124" s="50" t="s">
        <v>439</v>
      </c>
      <c r="E124" s="80" t="s">
        <v>21</v>
      </c>
      <c r="F124" s="50" t="s">
        <v>22</v>
      </c>
      <c r="G124" s="50" t="s">
        <v>440</v>
      </c>
      <c r="H124" s="88">
        <v>5165.2</v>
      </c>
      <c r="I124" s="88"/>
      <c r="J124" s="89"/>
      <c r="K124" s="89"/>
      <c r="L124" s="89">
        <f t="shared" si="2"/>
        <v>5165.2</v>
      </c>
      <c r="M124" s="87">
        <f t="shared" si="3"/>
        <v>5165.2</v>
      </c>
      <c r="N124" s="89"/>
      <c r="O124" s="89"/>
      <c r="P124" s="48">
        <v>41016</v>
      </c>
      <c r="Q124" s="48">
        <v>41138</v>
      </c>
      <c r="R124" s="49">
        <v>7594</v>
      </c>
    </row>
    <row r="125" spans="1:18" ht="38.25" x14ac:dyDescent="0.2">
      <c r="A125" s="45" t="s">
        <v>441</v>
      </c>
      <c r="B125" s="45">
        <v>24328</v>
      </c>
      <c r="C125" s="50" t="s">
        <v>35</v>
      </c>
      <c r="D125" s="50" t="s">
        <v>442</v>
      </c>
      <c r="E125" s="80" t="s">
        <v>21</v>
      </c>
      <c r="F125" s="50" t="s">
        <v>398</v>
      </c>
      <c r="G125" s="50" t="s">
        <v>443</v>
      </c>
      <c r="H125" s="88">
        <v>5924</v>
      </c>
      <c r="I125" s="88"/>
      <c r="J125" s="89"/>
      <c r="K125" s="89"/>
      <c r="L125" s="89">
        <f t="shared" si="2"/>
        <v>5924</v>
      </c>
      <c r="M125" s="87">
        <f t="shared" si="3"/>
        <v>5924</v>
      </c>
      <c r="N125" s="89"/>
      <c r="O125" s="89"/>
      <c r="P125" s="48">
        <v>41016</v>
      </c>
      <c r="Q125" s="48">
        <v>41138</v>
      </c>
      <c r="R125" s="49">
        <v>7596</v>
      </c>
    </row>
    <row r="126" spans="1:18" ht="38.25" x14ac:dyDescent="0.2">
      <c r="A126" s="45" t="s">
        <v>444</v>
      </c>
      <c r="B126" s="45">
        <v>24702</v>
      </c>
      <c r="C126" s="50" t="s">
        <v>35</v>
      </c>
      <c r="D126" s="50" t="s">
        <v>445</v>
      </c>
      <c r="E126" s="80" t="s">
        <v>21</v>
      </c>
      <c r="F126" s="50" t="s">
        <v>63</v>
      </c>
      <c r="G126" s="50" t="s">
        <v>446</v>
      </c>
      <c r="H126" s="88">
        <v>5055</v>
      </c>
      <c r="I126" s="88"/>
      <c r="J126" s="89"/>
      <c r="K126" s="89"/>
      <c r="L126" s="89">
        <f t="shared" si="2"/>
        <v>5055</v>
      </c>
      <c r="M126" s="87">
        <f t="shared" si="3"/>
        <v>5055</v>
      </c>
      <c r="N126" s="89"/>
      <c r="O126" s="89"/>
      <c r="P126" s="48">
        <v>41019</v>
      </c>
      <c r="Q126" s="48">
        <v>41141</v>
      </c>
      <c r="R126" s="49">
        <v>7426</v>
      </c>
    </row>
    <row r="127" spans="1:18" ht="38.25" x14ac:dyDescent="0.2">
      <c r="A127" s="45" t="s">
        <v>447</v>
      </c>
      <c r="B127" s="45">
        <v>23993</v>
      </c>
      <c r="C127" s="50" t="s">
        <v>19</v>
      </c>
      <c r="D127" s="50" t="s">
        <v>448</v>
      </c>
      <c r="E127" s="80" t="s">
        <v>21</v>
      </c>
      <c r="F127" s="50" t="s">
        <v>98</v>
      </c>
      <c r="G127" s="50" t="s">
        <v>449</v>
      </c>
      <c r="H127" s="88">
        <v>3512</v>
      </c>
      <c r="I127" s="88"/>
      <c r="J127" s="89"/>
      <c r="K127" s="89"/>
      <c r="L127" s="89">
        <f t="shared" si="2"/>
        <v>3512</v>
      </c>
      <c r="M127" s="87">
        <f t="shared" si="3"/>
        <v>3512</v>
      </c>
      <c r="N127" s="89"/>
      <c r="O127" s="89"/>
      <c r="P127" s="48">
        <v>41019</v>
      </c>
      <c r="Q127" s="48">
        <v>41141</v>
      </c>
      <c r="R127" s="49">
        <v>7433</v>
      </c>
    </row>
    <row r="128" spans="1:18" ht="63.75" x14ac:dyDescent="0.2">
      <c r="A128" s="45" t="s">
        <v>450</v>
      </c>
      <c r="B128" s="45">
        <v>24815</v>
      </c>
      <c r="C128" s="50" t="s">
        <v>19</v>
      </c>
      <c r="D128" s="50" t="s">
        <v>451</v>
      </c>
      <c r="E128" s="80" t="s">
        <v>21</v>
      </c>
      <c r="F128" s="50" t="s">
        <v>63</v>
      </c>
      <c r="G128" s="50" t="s">
        <v>452</v>
      </c>
      <c r="H128" s="88">
        <v>5836.05</v>
      </c>
      <c r="I128" s="88"/>
      <c r="J128" s="89"/>
      <c r="K128" s="89"/>
      <c r="L128" s="89">
        <f t="shared" si="2"/>
        <v>5836.05</v>
      </c>
      <c r="M128" s="87">
        <f t="shared" si="3"/>
        <v>5836.05</v>
      </c>
      <c r="N128" s="89"/>
      <c r="O128" s="89"/>
      <c r="P128" s="48">
        <v>41019</v>
      </c>
      <c r="Q128" s="48">
        <v>41141</v>
      </c>
      <c r="R128" s="49">
        <v>7847</v>
      </c>
    </row>
    <row r="129" spans="1:18" ht="51" x14ac:dyDescent="0.2">
      <c r="A129" s="45" t="s">
        <v>453</v>
      </c>
      <c r="B129" s="45">
        <v>24613</v>
      </c>
      <c r="C129" s="50" t="s">
        <v>66</v>
      </c>
      <c r="D129" s="50" t="s">
        <v>454</v>
      </c>
      <c r="E129" s="80" t="s">
        <v>21</v>
      </c>
      <c r="F129" s="50" t="s">
        <v>45</v>
      </c>
      <c r="G129" s="50" t="s">
        <v>455</v>
      </c>
      <c r="H129" s="88">
        <v>5517.8</v>
      </c>
      <c r="I129" s="88"/>
      <c r="J129" s="89"/>
      <c r="K129" s="89"/>
      <c r="L129" s="89">
        <f t="shared" si="2"/>
        <v>5517.8</v>
      </c>
      <c r="M129" s="87">
        <f t="shared" si="3"/>
        <v>5517.8</v>
      </c>
      <c r="N129" s="89"/>
      <c r="O129" s="89"/>
      <c r="P129" s="48">
        <v>41010</v>
      </c>
      <c r="Q129" s="48">
        <v>41132</v>
      </c>
      <c r="R129" s="49">
        <v>7838</v>
      </c>
    </row>
    <row r="130" spans="1:18" ht="38.25" x14ac:dyDescent="0.2">
      <c r="A130" s="45" t="s">
        <v>456</v>
      </c>
      <c r="B130" s="45">
        <v>14994</v>
      </c>
      <c r="C130" s="50" t="s">
        <v>457</v>
      </c>
      <c r="D130" s="50" t="s">
        <v>458</v>
      </c>
      <c r="E130" s="80" t="s">
        <v>21</v>
      </c>
      <c r="F130" s="50" t="s">
        <v>167</v>
      </c>
      <c r="G130" s="50" t="s">
        <v>459</v>
      </c>
      <c r="H130" s="88">
        <v>1900</v>
      </c>
      <c r="I130" s="88"/>
      <c r="J130" s="89"/>
      <c r="K130" s="89"/>
      <c r="L130" s="89">
        <f t="shared" si="2"/>
        <v>1900</v>
      </c>
      <c r="M130" s="87">
        <f t="shared" si="3"/>
        <v>1900</v>
      </c>
      <c r="N130" s="89"/>
      <c r="O130" s="89"/>
      <c r="P130" s="48">
        <v>41019</v>
      </c>
      <c r="Q130" s="48">
        <v>41141</v>
      </c>
      <c r="R130" s="49">
        <v>10625</v>
      </c>
    </row>
    <row r="131" spans="1:18" ht="25.5" x14ac:dyDescent="0.2">
      <c r="A131" s="45" t="s">
        <v>460</v>
      </c>
      <c r="B131" s="45">
        <v>1470</v>
      </c>
      <c r="C131" s="50" t="s">
        <v>35</v>
      </c>
      <c r="D131" s="50" t="s">
        <v>461</v>
      </c>
      <c r="E131" s="80" t="s">
        <v>308</v>
      </c>
      <c r="F131" s="50" t="s">
        <v>63</v>
      </c>
      <c r="G131" s="50" t="s">
        <v>462</v>
      </c>
      <c r="H131" s="88">
        <v>18030</v>
      </c>
      <c r="I131" s="88"/>
      <c r="J131" s="89"/>
      <c r="K131" s="89"/>
      <c r="L131" s="89">
        <f t="shared" si="2"/>
        <v>18030</v>
      </c>
      <c r="M131" s="87">
        <f t="shared" si="3"/>
        <v>18030</v>
      </c>
      <c r="N131" s="89"/>
      <c r="O131" s="89"/>
      <c r="P131" s="48">
        <v>41019</v>
      </c>
      <c r="Q131" s="48">
        <v>41202</v>
      </c>
      <c r="R131" s="49">
        <v>8132</v>
      </c>
    </row>
    <row r="132" spans="1:18" s="1" customFormat="1" ht="38.25" x14ac:dyDescent="0.2">
      <c r="A132" s="45" t="s">
        <v>463</v>
      </c>
      <c r="B132" s="45">
        <v>1561</v>
      </c>
      <c r="C132" s="50" t="s">
        <v>35</v>
      </c>
      <c r="D132" s="50" t="s">
        <v>464</v>
      </c>
      <c r="E132" s="80" t="s">
        <v>308</v>
      </c>
      <c r="F132" s="50" t="s">
        <v>87</v>
      </c>
      <c r="G132" s="50" t="s">
        <v>465</v>
      </c>
      <c r="H132" s="88">
        <v>7556</v>
      </c>
      <c r="I132" s="88"/>
      <c r="J132" s="89"/>
      <c r="K132" s="89"/>
      <c r="L132" s="89">
        <f t="shared" si="2"/>
        <v>7556</v>
      </c>
      <c r="M132" s="87">
        <f t="shared" si="3"/>
        <v>7556</v>
      </c>
      <c r="N132" s="89"/>
      <c r="O132" s="89"/>
      <c r="P132" s="48">
        <v>41019</v>
      </c>
      <c r="Q132" s="48">
        <v>41202</v>
      </c>
      <c r="R132" s="49">
        <v>8133</v>
      </c>
    </row>
    <row r="133" spans="1:18" s="1" customFormat="1" ht="63.75" x14ac:dyDescent="0.2">
      <c r="A133" s="45" t="s">
        <v>466</v>
      </c>
      <c r="B133" s="45">
        <v>1557</v>
      </c>
      <c r="C133" s="50" t="s">
        <v>35</v>
      </c>
      <c r="D133" s="50" t="s">
        <v>467</v>
      </c>
      <c r="E133" s="80" t="s">
        <v>308</v>
      </c>
      <c r="F133" s="50" t="s">
        <v>63</v>
      </c>
      <c r="G133" s="50" t="s">
        <v>468</v>
      </c>
      <c r="H133" s="88">
        <v>14769</v>
      </c>
      <c r="I133" s="88"/>
      <c r="J133" s="89"/>
      <c r="K133" s="89"/>
      <c r="L133" s="89">
        <f t="shared" si="2"/>
        <v>14769</v>
      </c>
      <c r="M133" s="87">
        <f t="shared" si="3"/>
        <v>14769</v>
      </c>
      <c r="N133" s="89"/>
      <c r="O133" s="89"/>
      <c r="P133" s="48">
        <v>41019</v>
      </c>
      <c r="Q133" s="48">
        <v>41202</v>
      </c>
      <c r="R133" s="49">
        <v>8126</v>
      </c>
    </row>
    <row r="134" spans="1:18" s="1" customFormat="1" ht="25.5" x14ac:dyDescent="0.2">
      <c r="A134" s="45" t="s">
        <v>469</v>
      </c>
      <c r="B134" s="45">
        <v>1546</v>
      </c>
      <c r="C134" s="50" t="s">
        <v>470</v>
      </c>
      <c r="D134" s="50" t="s">
        <v>471</v>
      </c>
      <c r="E134" s="80" t="s">
        <v>308</v>
      </c>
      <c r="F134" s="50" t="s">
        <v>87</v>
      </c>
      <c r="G134" s="50" t="s">
        <v>472</v>
      </c>
      <c r="H134" s="88">
        <v>7560</v>
      </c>
      <c r="I134" s="88"/>
      <c r="J134" s="89"/>
      <c r="K134" s="89"/>
      <c r="L134" s="89">
        <f t="shared" si="2"/>
        <v>7560</v>
      </c>
      <c r="M134" s="87">
        <f t="shared" si="3"/>
        <v>7560</v>
      </c>
      <c r="N134" s="89"/>
      <c r="O134" s="89"/>
      <c r="P134" s="48">
        <v>41023</v>
      </c>
      <c r="Q134" s="48">
        <v>41206</v>
      </c>
      <c r="R134" s="49">
        <v>8125</v>
      </c>
    </row>
    <row r="135" spans="1:18" s="1" customFormat="1" ht="25.5" x14ac:dyDescent="0.2">
      <c r="A135" s="45" t="s">
        <v>473</v>
      </c>
      <c r="B135" s="45">
        <v>1618</v>
      </c>
      <c r="C135" s="50" t="s">
        <v>474</v>
      </c>
      <c r="D135" s="50" t="s">
        <v>475</v>
      </c>
      <c r="E135" s="80" t="s">
        <v>308</v>
      </c>
      <c r="F135" s="50" t="s">
        <v>87</v>
      </c>
      <c r="G135" s="50" t="s">
        <v>476</v>
      </c>
      <c r="H135" s="88">
        <v>11580</v>
      </c>
      <c r="I135" s="88"/>
      <c r="J135" s="89"/>
      <c r="K135" s="89"/>
      <c r="L135" s="89">
        <f t="shared" ref="L135:L198" si="4">H135+I135+J135+K135</f>
        <v>11580</v>
      </c>
      <c r="M135" s="87">
        <f t="shared" ref="M135:M198" si="5">SUM(L135)</f>
        <v>11580</v>
      </c>
      <c r="N135" s="89"/>
      <c r="O135" s="89"/>
      <c r="P135" s="48">
        <v>41039</v>
      </c>
      <c r="Q135" s="48">
        <v>41223</v>
      </c>
      <c r="R135" s="49">
        <v>9083</v>
      </c>
    </row>
    <row r="136" spans="1:18" s="1" customFormat="1" ht="63.75" x14ac:dyDescent="0.2">
      <c r="A136" s="45" t="s">
        <v>477</v>
      </c>
      <c r="B136" s="45">
        <v>1625</v>
      </c>
      <c r="C136" s="50" t="s">
        <v>478</v>
      </c>
      <c r="D136" s="50" t="s">
        <v>479</v>
      </c>
      <c r="E136" s="80" t="s">
        <v>308</v>
      </c>
      <c r="F136" s="50" t="s">
        <v>71</v>
      </c>
      <c r="G136" s="50" t="s">
        <v>480</v>
      </c>
      <c r="H136" s="88">
        <v>7113</v>
      </c>
      <c r="I136" s="88"/>
      <c r="J136" s="89"/>
      <c r="K136" s="89"/>
      <c r="L136" s="89">
        <f t="shared" si="4"/>
        <v>7113</v>
      </c>
      <c r="M136" s="87">
        <f t="shared" si="5"/>
        <v>7113</v>
      </c>
      <c r="N136" s="89"/>
      <c r="O136" s="89"/>
      <c r="P136" s="48">
        <v>41019</v>
      </c>
      <c r="Q136" s="48">
        <v>41202</v>
      </c>
      <c r="R136" s="49">
        <v>8113</v>
      </c>
    </row>
    <row r="137" spans="1:18" s="1" customFormat="1" ht="25.5" x14ac:dyDescent="0.2">
      <c r="A137" s="45" t="s">
        <v>481</v>
      </c>
      <c r="B137" s="45">
        <v>1617</v>
      </c>
      <c r="C137" s="50" t="s">
        <v>66</v>
      </c>
      <c r="D137" s="50" t="s">
        <v>482</v>
      </c>
      <c r="E137" s="80" t="s">
        <v>308</v>
      </c>
      <c r="F137" s="50" t="s">
        <v>98</v>
      </c>
      <c r="G137" s="50" t="s">
        <v>483</v>
      </c>
      <c r="H137" s="88">
        <v>9340</v>
      </c>
      <c r="I137" s="88"/>
      <c r="J137" s="89"/>
      <c r="K137" s="89"/>
      <c r="L137" s="89">
        <f t="shared" si="4"/>
        <v>9340</v>
      </c>
      <c r="M137" s="87">
        <f t="shared" si="5"/>
        <v>9340</v>
      </c>
      <c r="N137" s="89"/>
      <c r="O137" s="89"/>
      <c r="P137" s="48">
        <v>41019</v>
      </c>
      <c r="Q137" s="48">
        <v>41202</v>
      </c>
      <c r="R137" s="49">
        <v>8128</v>
      </c>
    </row>
    <row r="138" spans="1:18" s="1" customFormat="1" ht="25.5" x14ac:dyDescent="0.2">
      <c r="A138" s="45" t="s">
        <v>484</v>
      </c>
      <c r="B138" s="45">
        <v>1598</v>
      </c>
      <c r="C138" s="50" t="s">
        <v>66</v>
      </c>
      <c r="D138" s="50" t="s">
        <v>485</v>
      </c>
      <c r="E138" s="80" t="s">
        <v>308</v>
      </c>
      <c r="F138" s="50" t="s">
        <v>98</v>
      </c>
      <c r="G138" s="50" t="s">
        <v>486</v>
      </c>
      <c r="H138" s="88">
        <v>20800</v>
      </c>
      <c r="I138" s="88"/>
      <c r="J138" s="89"/>
      <c r="K138" s="89"/>
      <c r="L138" s="89">
        <f t="shared" si="4"/>
        <v>20800</v>
      </c>
      <c r="M138" s="87">
        <f t="shared" si="5"/>
        <v>20800</v>
      </c>
      <c r="N138" s="89"/>
      <c r="O138" s="89"/>
      <c r="P138" s="48">
        <v>41019</v>
      </c>
      <c r="Q138" s="48">
        <v>41202</v>
      </c>
      <c r="R138" s="49">
        <v>8119</v>
      </c>
    </row>
    <row r="139" spans="1:18" s="1" customFormat="1" ht="25.5" x14ac:dyDescent="0.2">
      <c r="A139" s="45" t="s">
        <v>487</v>
      </c>
      <c r="B139" s="45">
        <v>1612</v>
      </c>
      <c r="C139" s="50" t="s">
        <v>19</v>
      </c>
      <c r="D139" s="50" t="s">
        <v>488</v>
      </c>
      <c r="E139" s="80" t="s">
        <v>308</v>
      </c>
      <c r="F139" s="50" t="s">
        <v>98</v>
      </c>
      <c r="G139" s="50" t="s">
        <v>489</v>
      </c>
      <c r="H139" s="88">
        <v>18838.330000000002</v>
      </c>
      <c r="I139" s="88"/>
      <c r="J139" s="89"/>
      <c r="K139" s="89"/>
      <c r="L139" s="89">
        <f t="shared" si="4"/>
        <v>18838.330000000002</v>
      </c>
      <c r="M139" s="87">
        <f t="shared" si="5"/>
        <v>18838.330000000002</v>
      </c>
      <c r="N139" s="89"/>
      <c r="O139" s="89"/>
      <c r="P139" s="48">
        <v>41019</v>
      </c>
      <c r="Q139" s="48">
        <v>41202</v>
      </c>
      <c r="R139" s="49">
        <v>7629</v>
      </c>
    </row>
    <row r="140" spans="1:18" s="1" customFormat="1" ht="38.25" x14ac:dyDescent="0.2">
      <c r="A140" s="45" t="s">
        <v>490</v>
      </c>
      <c r="B140" s="45">
        <v>1491</v>
      </c>
      <c r="C140" s="50" t="s">
        <v>19</v>
      </c>
      <c r="D140" s="50" t="s">
        <v>491</v>
      </c>
      <c r="E140" s="80" t="s">
        <v>308</v>
      </c>
      <c r="F140" s="50" t="s">
        <v>63</v>
      </c>
      <c r="G140" s="50" t="s">
        <v>492</v>
      </c>
      <c r="H140" s="88">
        <v>9156</v>
      </c>
      <c r="I140" s="88"/>
      <c r="J140" s="89"/>
      <c r="K140" s="89"/>
      <c r="L140" s="89">
        <f t="shared" si="4"/>
        <v>9156</v>
      </c>
      <c r="M140" s="87">
        <f t="shared" si="5"/>
        <v>9156</v>
      </c>
      <c r="N140" s="89"/>
      <c r="O140" s="89"/>
      <c r="P140" s="48">
        <v>41019</v>
      </c>
      <c r="Q140" s="48">
        <v>41202</v>
      </c>
      <c r="R140" s="49">
        <v>7633</v>
      </c>
    </row>
    <row r="141" spans="1:18" s="1" customFormat="1" ht="38.25" x14ac:dyDescent="0.2">
      <c r="A141" s="45" t="s">
        <v>493</v>
      </c>
      <c r="B141" s="45">
        <v>1615</v>
      </c>
      <c r="C141" s="50" t="s">
        <v>107</v>
      </c>
      <c r="D141" s="50" t="s">
        <v>494</v>
      </c>
      <c r="E141" s="80" t="s">
        <v>308</v>
      </c>
      <c r="F141" s="50" t="s">
        <v>98</v>
      </c>
      <c r="G141" s="50" t="s">
        <v>495</v>
      </c>
      <c r="H141" s="88">
        <v>10109.5</v>
      </c>
      <c r="I141" s="88"/>
      <c r="J141" s="89"/>
      <c r="K141" s="89"/>
      <c r="L141" s="89">
        <f t="shared" si="4"/>
        <v>10109.5</v>
      </c>
      <c r="M141" s="87">
        <f t="shared" si="5"/>
        <v>10109.5</v>
      </c>
      <c r="N141" s="89"/>
      <c r="O141" s="89"/>
      <c r="P141" s="48">
        <v>41019</v>
      </c>
      <c r="Q141" s="48">
        <v>41202</v>
      </c>
      <c r="R141" s="49">
        <v>7675</v>
      </c>
    </row>
    <row r="142" spans="1:18" s="1" customFormat="1" ht="51" x14ac:dyDescent="0.2">
      <c r="A142" s="45" t="s">
        <v>496</v>
      </c>
      <c r="B142" s="45">
        <v>1495</v>
      </c>
      <c r="C142" s="50" t="s">
        <v>263</v>
      </c>
      <c r="D142" s="50" t="s">
        <v>497</v>
      </c>
      <c r="E142" s="80" t="s">
        <v>308</v>
      </c>
      <c r="F142" s="50" t="s">
        <v>45</v>
      </c>
      <c r="G142" s="50" t="s">
        <v>498</v>
      </c>
      <c r="H142" s="88">
        <v>8180</v>
      </c>
      <c r="I142" s="88"/>
      <c r="J142" s="89"/>
      <c r="K142" s="89"/>
      <c r="L142" s="89">
        <f t="shared" si="4"/>
        <v>8180</v>
      </c>
      <c r="M142" s="87">
        <f t="shared" si="5"/>
        <v>8180</v>
      </c>
      <c r="N142" s="89"/>
      <c r="O142" s="89"/>
      <c r="P142" s="48">
        <v>41023</v>
      </c>
      <c r="Q142" s="48">
        <v>41206</v>
      </c>
      <c r="R142" s="49">
        <v>8135</v>
      </c>
    </row>
    <row r="143" spans="1:18" s="1" customFormat="1" ht="25.5" x14ac:dyDescent="0.2">
      <c r="A143" s="45" t="s">
        <v>499</v>
      </c>
      <c r="B143" s="45">
        <v>1533</v>
      </c>
      <c r="C143" s="50" t="s">
        <v>243</v>
      </c>
      <c r="D143" s="50" t="s">
        <v>500</v>
      </c>
      <c r="E143" s="80" t="s">
        <v>308</v>
      </c>
      <c r="F143" s="50" t="s">
        <v>87</v>
      </c>
      <c r="G143" s="50" t="s">
        <v>501</v>
      </c>
      <c r="H143" s="88">
        <v>11518.98</v>
      </c>
      <c r="I143" s="88"/>
      <c r="J143" s="89"/>
      <c r="K143" s="89"/>
      <c r="L143" s="89">
        <f t="shared" si="4"/>
        <v>11518.98</v>
      </c>
      <c r="M143" s="87">
        <f t="shared" si="5"/>
        <v>11518.98</v>
      </c>
      <c r="N143" s="89"/>
      <c r="O143" s="89"/>
      <c r="P143" s="48">
        <v>41019</v>
      </c>
      <c r="Q143" s="48">
        <v>41202</v>
      </c>
      <c r="R143" s="49">
        <v>7668</v>
      </c>
    </row>
    <row r="144" spans="1:18" s="1" customFormat="1" ht="38.25" x14ac:dyDescent="0.2">
      <c r="A144" s="45" t="s">
        <v>502</v>
      </c>
      <c r="B144" s="45">
        <v>1555</v>
      </c>
      <c r="C144" s="50" t="s">
        <v>503</v>
      </c>
      <c r="D144" s="50" t="s">
        <v>504</v>
      </c>
      <c r="E144" s="80" t="s">
        <v>308</v>
      </c>
      <c r="F144" s="50" t="s">
        <v>167</v>
      </c>
      <c r="G144" s="50" t="s">
        <v>505</v>
      </c>
      <c r="H144" s="88">
        <v>13173.2</v>
      </c>
      <c r="I144" s="88"/>
      <c r="J144" s="89"/>
      <c r="K144" s="89"/>
      <c r="L144" s="89">
        <f t="shared" si="4"/>
        <v>13173.2</v>
      </c>
      <c r="M144" s="87">
        <f t="shared" si="5"/>
        <v>13173.2</v>
      </c>
      <c r="N144" s="89"/>
      <c r="O144" s="89"/>
      <c r="P144" s="48">
        <v>41031</v>
      </c>
      <c r="Q144" s="48">
        <v>41215</v>
      </c>
      <c r="R144" s="49">
        <v>9060</v>
      </c>
    </row>
    <row r="145" spans="1:18" s="1" customFormat="1" ht="38.25" x14ac:dyDescent="0.2">
      <c r="A145" s="45" t="s">
        <v>506</v>
      </c>
      <c r="B145" s="45">
        <v>1544</v>
      </c>
      <c r="C145" s="50" t="s">
        <v>507</v>
      </c>
      <c r="D145" s="50" t="s">
        <v>508</v>
      </c>
      <c r="E145" s="80" t="s">
        <v>308</v>
      </c>
      <c r="F145" s="50" t="s">
        <v>45</v>
      </c>
      <c r="G145" s="50" t="s">
        <v>509</v>
      </c>
      <c r="H145" s="88">
        <v>4186</v>
      </c>
      <c r="I145" s="88"/>
      <c r="J145" s="89"/>
      <c r="K145" s="89"/>
      <c r="L145" s="89">
        <f t="shared" si="4"/>
        <v>4186</v>
      </c>
      <c r="M145" s="87">
        <f t="shared" si="5"/>
        <v>4186</v>
      </c>
      <c r="N145" s="89"/>
      <c r="O145" s="89"/>
      <c r="P145" s="48">
        <v>41023</v>
      </c>
      <c r="Q145" s="48">
        <v>41206</v>
      </c>
      <c r="R145" s="49">
        <v>9051</v>
      </c>
    </row>
    <row r="146" spans="1:18" s="1" customFormat="1" ht="25.5" x14ac:dyDescent="0.2">
      <c r="A146" s="46" t="s">
        <v>510</v>
      </c>
      <c r="B146" s="46">
        <v>21563</v>
      </c>
      <c r="C146" s="80" t="s">
        <v>511</v>
      </c>
      <c r="D146" s="80" t="s">
        <v>512</v>
      </c>
      <c r="E146" s="80" t="s">
        <v>513</v>
      </c>
      <c r="F146" s="80" t="s">
        <v>63</v>
      </c>
      <c r="G146" s="80" t="s">
        <v>514</v>
      </c>
      <c r="H146" s="88"/>
      <c r="I146" s="88">
        <v>5400</v>
      </c>
      <c r="J146" s="89"/>
      <c r="K146" s="89"/>
      <c r="L146" s="89">
        <f t="shared" si="4"/>
        <v>5400</v>
      </c>
      <c r="M146" s="87">
        <f t="shared" si="5"/>
        <v>5400</v>
      </c>
      <c r="N146" s="89"/>
      <c r="O146" s="89"/>
      <c r="P146" s="51">
        <v>41061</v>
      </c>
      <c r="Q146" s="51">
        <v>41456</v>
      </c>
      <c r="R146" s="49">
        <v>10420</v>
      </c>
    </row>
    <row r="147" spans="1:18" s="1" customFormat="1" ht="38.25" x14ac:dyDescent="0.2">
      <c r="A147" s="45" t="s">
        <v>515</v>
      </c>
      <c r="B147" s="45">
        <v>24196</v>
      </c>
      <c r="C147" s="50" t="s">
        <v>35</v>
      </c>
      <c r="D147" s="50" t="s">
        <v>516</v>
      </c>
      <c r="E147" s="80" t="s">
        <v>21</v>
      </c>
      <c r="F147" s="50" t="s">
        <v>193</v>
      </c>
      <c r="G147" s="50" t="s">
        <v>517</v>
      </c>
      <c r="H147" s="88">
        <v>5944.96</v>
      </c>
      <c r="I147" s="88"/>
      <c r="J147" s="89"/>
      <c r="K147" s="89"/>
      <c r="L147" s="89">
        <f t="shared" si="4"/>
        <v>5944.96</v>
      </c>
      <c r="M147" s="87">
        <f t="shared" si="5"/>
        <v>5944.96</v>
      </c>
      <c r="N147" s="89"/>
      <c r="O147" s="89"/>
      <c r="P147" s="48">
        <v>41045</v>
      </c>
      <c r="Q147" s="48">
        <v>41168</v>
      </c>
      <c r="R147" s="49">
        <v>8761</v>
      </c>
    </row>
    <row r="148" spans="1:18" s="1" customFormat="1" ht="38.25" x14ac:dyDescent="0.2">
      <c r="A148" s="45" t="s">
        <v>518</v>
      </c>
      <c r="B148" s="45">
        <v>24564</v>
      </c>
      <c r="C148" s="50" t="s">
        <v>35</v>
      </c>
      <c r="D148" s="50" t="s">
        <v>519</v>
      </c>
      <c r="E148" s="80" t="s">
        <v>21</v>
      </c>
      <c r="F148" s="50" t="s">
        <v>26</v>
      </c>
      <c r="G148" s="50" t="s">
        <v>520</v>
      </c>
      <c r="H148" s="88">
        <v>5566.4</v>
      </c>
      <c r="I148" s="88"/>
      <c r="J148" s="89"/>
      <c r="K148" s="89"/>
      <c r="L148" s="89">
        <f t="shared" si="4"/>
        <v>5566.4</v>
      </c>
      <c r="M148" s="87">
        <f t="shared" si="5"/>
        <v>5566.4</v>
      </c>
      <c r="N148" s="89"/>
      <c r="O148" s="89"/>
      <c r="P148" s="48">
        <v>41045</v>
      </c>
      <c r="Q148" s="48">
        <v>41168</v>
      </c>
      <c r="R148" s="49">
        <v>8751</v>
      </c>
    </row>
    <row r="149" spans="1:18" s="1" customFormat="1" ht="38.25" x14ac:dyDescent="0.2">
      <c r="A149" s="45" t="s">
        <v>521</v>
      </c>
      <c r="B149" s="45">
        <v>23234</v>
      </c>
      <c r="C149" s="50" t="s">
        <v>35</v>
      </c>
      <c r="D149" s="50" t="s">
        <v>522</v>
      </c>
      <c r="E149" s="80" t="s">
        <v>21</v>
      </c>
      <c r="F149" s="50" t="s">
        <v>87</v>
      </c>
      <c r="G149" s="50" t="s">
        <v>523</v>
      </c>
      <c r="H149" s="88">
        <v>5812</v>
      </c>
      <c r="I149" s="88"/>
      <c r="J149" s="89"/>
      <c r="K149" s="89"/>
      <c r="L149" s="89">
        <f t="shared" si="4"/>
        <v>5812</v>
      </c>
      <c r="M149" s="87">
        <f t="shared" si="5"/>
        <v>5812</v>
      </c>
      <c r="N149" s="89"/>
      <c r="O149" s="89"/>
      <c r="P149" s="48">
        <v>41045</v>
      </c>
      <c r="Q149" s="48">
        <v>41168</v>
      </c>
      <c r="R149" s="49">
        <v>8746</v>
      </c>
    </row>
    <row r="150" spans="1:18" s="1" customFormat="1" ht="38.25" x14ac:dyDescent="0.2">
      <c r="A150" s="46" t="s">
        <v>524</v>
      </c>
      <c r="B150" s="46">
        <v>24796</v>
      </c>
      <c r="C150" s="80" t="s">
        <v>43</v>
      </c>
      <c r="D150" s="80" t="s">
        <v>525</v>
      </c>
      <c r="E150" s="80" t="s">
        <v>21</v>
      </c>
      <c r="F150" s="80" t="s">
        <v>22</v>
      </c>
      <c r="G150" s="80" t="s">
        <v>526</v>
      </c>
      <c r="H150" s="88">
        <v>2544.3000000000002</v>
      </c>
      <c r="I150" s="88"/>
      <c r="J150" s="89"/>
      <c r="K150" s="89"/>
      <c r="L150" s="89">
        <f t="shared" si="4"/>
        <v>2544.3000000000002</v>
      </c>
      <c r="M150" s="87">
        <f t="shared" si="5"/>
        <v>2544.3000000000002</v>
      </c>
      <c r="N150" s="89"/>
      <c r="O150" s="89"/>
      <c r="P150" s="51">
        <v>41057</v>
      </c>
      <c r="Q150" s="48">
        <v>41180</v>
      </c>
      <c r="R150" s="49">
        <v>9029</v>
      </c>
    </row>
    <row r="151" spans="1:18" s="1" customFormat="1" ht="38.25" x14ac:dyDescent="0.2">
      <c r="A151" s="45" t="s">
        <v>527</v>
      </c>
      <c r="B151" s="45">
        <v>24833</v>
      </c>
      <c r="C151" s="50" t="s">
        <v>66</v>
      </c>
      <c r="D151" s="50" t="s">
        <v>528</v>
      </c>
      <c r="E151" s="80" t="s">
        <v>21</v>
      </c>
      <c r="F151" s="50" t="s">
        <v>240</v>
      </c>
      <c r="G151" s="50" t="s">
        <v>529</v>
      </c>
      <c r="H151" s="88">
        <v>5532.5</v>
      </c>
      <c r="I151" s="88"/>
      <c r="J151" s="89"/>
      <c r="K151" s="89"/>
      <c r="L151" s="89">
        <f t="shared" si="4"/>
        <v>5532.5</v>
      </c>
      <c r="M151" s="87">
        <f t="shared" si="5"/>
        <v>5532.5</v>
      </c>
      <c r="N151" s="89"/>
      <c r="O151" s="89"/>
      <c r="P151" s="48">
        <v>41033</v>
      </c>
      <c r="Q151" s="48">
        <v>41156</v>
      </c>
      <c r="R151" s="49">
        <v>8805</v>
      </c>
    </row>
    <row r="152" spans="1:18" s="1" customFormat="1" ht="38.25" x14ac:dyDescent="0.2">
      <c r="A152" s="45" t="s">
        <v>530</v>
      </c>
      <c r="B152" s="45">
        <v>24765</v>
      </c>
      <c r="C152" s="50" t="s">
        <v>66</v>
      </c>
      <c r="D152" s="50" t="s">
        <v>531</v>
      </c>
      <c r="E152" s="80" t="s">
        <v>21</v>
      </c>
      <c r="F152" s="50" t="s">
        <v>26</v>
      </c>
      <c r="G152" s="50" t="s">
        <v>532</v>
      </c>
      <c r="H152" s="88">
        <v>5167.6000000000004</v>
      </c>
      <c r="I152" s="88"/>
      <c r="J152" s="89"/>
      <c r="K152" s="89"/>
      <c r="L152" s="89">
        <f t="shared" si="4"/>
        <v>5167.6000000000004</v>
      </c>
      <c r="M152" s="87">
        <f t="shared" si="5"/>
        <v>5167.6000000000004</v>
      </c>
      <c r="N152" s="89"/>
      <c r="O152" s="89"/>
      <c r="P152" s="48">
        <v>41033</v>
      </c>
      <c r="Q152" s="48">
        <v>41156</v>
      </c>
      <c r="R152" s="49">
        <v>8764</v>
      </c>
    </row>
    <row r="153" spans="1:18" s="1" customFormat="1" ht="38.25" x14ac:dyDescent="0.2">
      <c r="A153" s="57" t="s">
        <v>533</v>
      </c>
      <c r="B153" s="57">
        <v>24562</v>
      </c>
      <c r="C153" s="60" t="s">
        <v>534</v>
      </c>
      <c r="D153" s="60" t="s">
        <v>535</v>
      </c>
      <c r="E153" s="60" t="s">
        <v>21</v>
      </c>
      <c r="F153" s="60" t="s">
        <v>45</v>
      </c>
      <c r="G153" s="60" t="s">
        <v>536</v>
      </c>
      <c r="H153" s="92">
        <v>5142</v>
      </c>
      <c r="I153" s="92"/>
      <c r="J153" s="93"/>
      <c r="K153" s="93"/>
      <c r="L153" s="89">
        <f t="shared" si="4"/>
        <v>5142</v>
      </c>
      <c r="M153" s="87">
        <f t="shared" si="5"/>
        <v>5142</v>
      </c>
      <c r="N153" s="93"/>
      <c r="O153" s="93"/>
      <c r="P153" s="58">
        <v>41047</v>
      </c>
      <c r="Q153" s="48">
        <v>41170</v>
      </c>
      <c r="R153" s="49">
        <v>8734</v>
      </c>
    </row>
    <row r="154" spans="1:18" s="1" customFormat="1" ht="38.25" x14ac:dyDescent="0.2">
      <c r="A154" s="57" t="s">
        <v>537</v>
      </c>
      <c r="B154" s="57">
        <v>22449</v>
      </c>
      <c r="C154" s="60" t="s">
        <v>457</v>
      </c>
      <c r="D154" s="60" t="s">
        <v>538</v>
      </c>
      <c r="E154" s="60" t="s">
        <v>21</v>
      </c>
      <c r="F154" s="60" t="s">
        <v>167</v>
      </c>
      <c r="G154" s="60" t="s">
        <v>539</v>
      </c>
      <c r="H154" s="92">
        <v>5847</v>
      </c>
      <c r="I154" s="92"/>
      <c r="J154" s="93"/>
      <c r="K154" s="93"/>
      <c r="L154" s="89">
        <f t="shared" si="4"/>
        <v>5847</v>
      </c>
      <c r="M154" s="87">
        <f t="shared" si="5"/>
        <v>5847</v>
      </c>
      <c r="N154" s="93"/>
      <c r="O154" s="93"/>
      <c r="P154" s="58">
        <v>41046</v>
      </c>
      <c r="Q154" s="58">
        <v>41169</v>
      </c>
      <c r="R154" s="59">
        <v>10297</v>
      </c>
    </row>
    <row r="155" spans="1:18" s="1" customFormat="1" ht="38.25" x14ac:dyDescent="0.2">
      <c r="A155" s="45" t="s">
        <v>540</v>
      </c>
      <c r="B155" s="45">
        <v>19030</v>
      </c>
      <c r="C155" s="50" t="s">
        <v>35</v>
      </c>
      <c r="D155" s="50" t="s">
        <v>541</v>
      </c>
      <c r="E155" s="80" t="s">
        <v>21</v>
      </c>
      <c r="F155" s="50" t="s">
        <v>167</v>
      </c>
      <c r="G155" s="50" t="s">
        <v>542</v>
      </c>
      <c r="H155" s="88">
        <v>5415</v>
      </c>
      <c r="I155" s="88"/>
      <c r="J155" s="89"/>
      <c r="K155" s="89"/>
      <c r="L155" s="89">
        <f t="shared" si="4"/>
        <v>5415</v>
      </c>
      <c r="M155" s="87">
        <f t="shared" si="5"/>
        <v>5415</v>
      </c>
      <c r="N155" s="89"/>
      <c r="O155" s="89"/>
      <c r="P155" s="48">
        <v>41045</v>
      </c>
      <c r="Q155" s="48">
        <v>41168</v>
      </c>
      <c r="R155" s="49">
        <v>8749</v>
      </c>
    </row>
    <row r="156" spans="1:18" s="1" customFormat="1" ht="63.75" x14ac:dyDescent="0.2">
      <c r="A156" s="45" t="s">
        <v>543</v>
      </c>
      <c r="B156" s="45">
        <v>1553</v>
      </c>
      <c r="C156" s="50" t="s">
        <v>66</v>
      </c>
      <c r="D156" s="50" t="s">
        <v>544</v>
      </c>
      <c r="E156" s="80" t="s">
        <v>308</v>
      </c>
      <c r="F156" s="50" t="s">
        <v>398</v>
      </c>
      <c r="G156" s="50" t="s">
        <v>545</v>
      </c>
      <c r="H156" s="88">
        <v>8855</v>
      </c>
      <c r="I156" s="88"/>
      <c r="J156" s="89"/>
      <c r="K156" s="89"/>
      <c r="L156" s="89">
        <f t="shared" si="4"/>
        <v>8855</v>
      </c>
      <c r="M156" s="87">
        <f t="shared" si="5"/>
        <v>8855</v>
      </c>
      <c r="N156" s="89"/>
      <c r="O156" s="89"/>
      <c r="P156" s="48">
        <v>41039</v>
      </c>
      <c r="Q156" s="48">
        <v>41223</v>
      </c>
      <c r="R156" s="49">
        <v>9058</v>
      </c>
    </row>
    <row r="157" spans="1:18" s="1" customFormat="1" ht="38.25" x14ac:dyDescent="0.2">
      <c r="A157" s="45" t="s">
        <v>546</v>
      </c>
      <c r="B157" s="45">
        <v>1575</v>
      </c>
      <c r="C157" s="50" t="s">
        <v>66</v>
      </c>
      <c r="D157" s="50" t="s">
        <v>547</v>
      </c>
      <c r="E157" s="80" t="s">
        <v>308</v>
      </c>
      <c r="F157" s="50" t="s">
        <v>26</v>
      </c>
      <c r="G157" s="50" t="s">
        <v>548</v>
      </c>
      <c r="H157" s="88">
        <v>4550</v>
      </c>
      <c r="I157" s="88"/>
      <c r="J157" s="89"/>
      <c r="K157" s="89"/>
      <c r="L157" s="89">
        <f t="shared" si="4"/>
        <v>4550</v>
      </c>
      <c r="M157" s="87">
        <f t="shared" si="5"/>
        <v>4550</v>
      </c>
      <c r="N157" s="89"/>
      <c r="O157" s="89"/>
      <c r="P157" s="48">
        <v>41039</v>
      </c>
      <c r="Q157" s="48">
        <v>41223</v>
      </c>
      <c r="R157" s="49">
        <v>9054</v>
      </c>
    </row>
    <row r="158" spans="1:18" s="1" customFormat="1" ht="25.5" x14ac:dyDescent="0.2">
      <c r="A158" s="45" t="s">
        <v>549</v>
      </c>
      <c r="B158" s="45">
        <v>1540</v>
      </c>
      <c r="C158" s="50" t="s">
        <v>238</v>
      </c>
      <c r="D158" s="50" t="s">
        <v>550</v>
      </c>
      <c r="E158" s="80" t="s">
        <v>308</v>
      </c>
      <c r="F158" s="50" t="s">
        <v>98</v>
      </c>
      <c r="G158" s="50" t="s">
        <v>551</v>
      </c>
      <c r="H158" s="88">
        <v>9380</v>
      </c>
      <c r="I158" s="88"/>
      <c r="J158" s="89"/>
      <c r="K158" s="89"/>
      <c r="L158" s="89">
        <f t="shared" si="4"/>
        <v>9380</v>
      </c>
      <c r="M158" s="87">
        <f t="shared" si="5"/>
        <v>9380</v>
      </c>
      <c r="N158" s="89"/>
      <c r="O158" s="89"/>
      <c r="P158" s="48">
        <v>41047</v>
      </c>
      <c r="Q158" s="48">
        <v>41231</v>
      </c>
      <c r="R158" s="49">
        <v>9078</v>
      </c>
    </row>
    <row r="159" spans="1:18" s="1" customFormat="1" ht="38.25" x14ac:dyDescent="0.2">
      <c r="A159" s="45" t="s">
        <v>552</v>
      </c>
      <c r="B159" s="45">
        <v>1549</v>
      </c>
      <c r="C159" s="50" t="s">
        <v>212</v>
      </c>
      <c r="D159" s="50" t="s">
        <v>553</v>
      </c>
      <c r="E159" s="80" t="s">
        <v>308</v>
      </c>
      <c r="F159" s="50" t="s">
        <v>71</v>
      </c>
      <c r="G159" s="50" t="s">
        <v>554</v>
      </c>
      <c r="H159" s="88">
        <v>7838.83</v>
      </c>
      <c r="I159" s="88"/>
      <c r="J159" s="89"/>
      <c r="K159" s="89"/>
      <c r="L159" s="89">
        <f t="shared" si="4"/>
        <v>7838.83</v>
      </c>
      <c r="M159" s="87">
        <f t="shared" si="5"/>
        <v>7838.83</v>
      </c>
      <c r="N159" s="89"/>
      <c r="O159" s="89"/>
      <c r="P159" s="48">
        <v>41052</v>
      </c>
      <c r="Q159" s="48">
        <v>41236</v>
      </c>
      <c r="R159" s="49">
        <v>9046</v>
      </c>
    </row>
    <row r="160" spans="1:18" s="1" customFormat="1" ht="25.5" x14ac:dyDescent="0.2">
      <c r="A160" s="45" t="s">
        <v>555</v>
      </c>
      <c r="B160" s="45">
        <v>1597</v>
      </c>
      <c r="C160" s="50" t="s">
        <v>470</v>
      </c>
      <c r="D160" s="50" t="s">
        <v>556</v>
      </c>
      <c r="E160" s="80" t="s">
        <v>308</v>
      </c>
      <c r="F160" s="50" t="s">
        <v>87</v>
      </c>
      <c r="G160" s="50" t="s">
        <v>557</v>
      </c>
      <c r="H160" s="88">
        <v>6825</v>
      </c>
      <c r="I160" s="88"/>
      <c r="J160" s="89"/>
      <c r="K160" s="89"/>
      <c r="L160" s="89">
        <f t="shared" si="4"/>
        <v>6825</v>
      </c>
      <c r="M160" s="87">
        <f t="shared" si="5"/>
        <v>6825</v>
      </c>
      <c r="N160" s="89"/>
      <c r="O160" s="89"/>
      <c r="P160" s="48">
        <v>41061</v>
      </c>
      <c r="Q160" s="48">
        <v>41244</v>
      </c>
      <c r="R160" s="49">
        <v>9081</v>
      </c>
    </row>
    <row r="161" spans="1:18" s="1" customFormat="1" ht="25.5" x14ac:dyDescent="0.2">
      <c r="A161" s="45" t="s">
        <v>558</v>
      </c>
      <c r="B161" s="45">
        <v>1509</v>
      </c>
      <c r="C161" s="50" t="s">
        <v>19</v>
      </c>
      <c r="D161" s="50" t="s">
        <v>559</v>
      </c>
      <c r="E161" s="80" t="s">
        <v>308</v>
      </c>
      <c r="F161" s="50" t="s">
        <v>26</v>
      </c>
      <c r="G161" s="50" t="s">
        <v>560</v>
      </c>
      <c r="H161" s="88">
        <v>10240</v>
      </c>
      <c r="I161" s="88"/>
      <c r="J161" s="89"/>
      <c r="K161" s="89"/>
      <c r="L161" s="89">
        <f t="shared" si="4"/>
        <v>10240</v>
      </c>
      <c r="M161" s="87">
        <f t="shared" si="5"/>
        <v>10240</v>
      </c>
      <c r="N161" s="89"/>
      <c r="O161" s="89"/>
      <c r="P161" s="48">
        <v>41045</v>
      </c>
      <c r="Q161" s="48">
        <v>41229</v>
      </c>
      <c r="R161" s="49">
        <v>8754</v>
      </c>
    </row>
    <row r="162" spans="1:18" s="1" customFormat="1" ht="51" x14ac:dyDescent="0.2">
      <c r="A162" s="45" t="s">
        <v>561</v>
      </c>
      <c r="B162" s="45">
        <v>1507</v>
      </c>
      <c r="C162" s="50" t="s">
        <v>19</v>
      </c>
      <c r="D162" s="50" t="s">
        <v>562</v>
      </c>
      <c r="E162" s="80" t="s">
        <v>308</v>
      </c>
      <c r="F162" s="50" t="s">
        <v>45</v>
      </c>
      <c r="G162" s="50" t="s">
        <v>563</v>
      </c>
      <c r="H162" s="88">
        <v>18395</v>
      </c>
      <c r="I162" s="88"/>
      <c r="J162" s="89"/>
      <c r="K162" s="89"/>
      <c r="L162" s="89">
        <f t="shared" si="4"/>
        <v>18395</v>
      </c>
      <c r="M162" s="87">
        <f t="shared" si="5"/>
        <v>18395</v>
      </c>
      <c r="N162" s="89"/>
      <c r="O162" s="89"/>
      <c r="P162" s="48">
        <v>41045</v>
      </c>
      <c r="Q162" s="48">
        <v>41229</v>
      </c>
      <c r="R162" s="49">
        <v>8757</v>
      </c>
    </row>
    <row r="163" spans="1:18" s="1" customFormat="1" ht="38.25" x14ac:dyDescent="0.2">
      <c r="A163" s="45" t="s">
        <v>564</v>
      </c>
      <c r="B163" s="45">
        <v>1590</v>
      </c>
      <c r="C163" s="50" t="s">
        <v>43</v>
      </c>
      <c r="D163" s="50" t="s">
        <v>565</v>
      </c>
      <c r="E163" s="80" t="s">
        <v>308</v>
      </c>
      <c r="F163" s="50" t="s">
        <v>98</v>
      </c>
      <c r="G163" s="50" t="s">
        <v>566</v>
      </c>
      <c r="H163" s="88">
        <v>17723.259999999998</v>
      </c>
      <c r="I163" s="88"/>
      <c r="J163" s="89"/>
      <c r="K163" s="89"/>
      <c r="L163" s="89">
        <f t="shared" si="4"/>
        <v>17723.259999999998</v>
      </c>
      <c r="M163" s="87">
        <f t="shared" si="5"/>
        <v>17723.259999999998</v>
      </c>
      <c r="N163" s="89"/>
      <c r="O163" s="89"/>
      <c r="P163" s="48">
        <v>41057</v>
      </c>
      <c r="Q163" s="48">
        <v>41241</v>
      </c>
      <c r="R163" s="49">
        <v>9057</v>
      </c>
    </row>
    <row r="164" spans="1:18" ht="25.5" x14ac:dyDescent="0.2">
      <c r="A164" s="45" t="s">
        <v>567</v>
      </c>
      <c r="B164" s="45">
        <v>1571</v>
      </c>
      <c r="C164" s="50" t="s">
        <v>369</v>
      </c>
      <c r="D164" s="50" t="s">
        <v>568</v>
      </c>
      <c r="E164" s="80" t="s">
        <v>308</v>
      </c>
      <c r="F164" s="50" t="s">
        <v>87</v>
      </c>
      <c r="G164" s="50" t="s">
        <v>569</v>
      </c>
      <c r="H164" s="88">
        <v>19800</v>
      </c>
      <c r="I164" s="88"/>
      <c r="J164" s="89"/>
      <c r="K164" s="89"/>
      <c r="L164" s="89">
        <f t="shared" si="4"/>
        <v>19800</v>
      </c>
      <c r="M164" s="87">
        <f t="shared" si="5"/>
        <v>19800</v>
      </c>
      <c r="N164" s="89"/>
      <c r="O164" s="89"/>
      <c r="P164" s="48">
        <v>41040</v>
      </c>
      <c r="Q164" s="48">
        <v>41193</v>
      </c>
      <c r="R164" s="49">
        <v>8801</v>
      </c>
    </row>
    <row r="165" spans="1:18" ht="25.5" x14ac:dyDescent="0.2">
      <c r="A165" s="45" t="s">
        <v>570</v>
      </c>
      <c r="B165" s="45">
        <v>1574</v>
      </c>
      <c r="C165" s="50" t="s">
        <v>407</v>
      </c>
      <c r="D165" s="50" t="s">
        <v>571</v>
      </c>
      <c r="E165" s="80" t="s">
        <v>308</v>
      </c>
      <c r="F165" s="50" t="s">
        <v>87</v>
      </c>
      <c r="G165" s="50" t="s">
        <v>572</v>
      </c>
      <c r="H165" s="88">
        <v>9110</v>
      </c>
      <c r="I165" s="88"/>
      <c r="J165" s="89"/>
      <c r="K165" s="89"/>
      <c r="L165" s="89">
        <f t="shared" si="4"/>
        <v>9110</v>
      </c>
      <c r="M165" s="87">
        <f t="shared" si="5"/>
        <v>9110</v>
      </c>
      <c r="N165" s="89"/>
      <c r="O165" s="89"/>
      <c r="P165" s="48">
        <v>41047</v>
      </c>
      <c r="Q165" s="48">
        <v>41231</v>
      </c>
      <c r="R165" s="49">
        <v>8735</v>
      </c>
    </row>
    <row r="166" spans="1:18" ht="38.25" x14ac:dyDescent="0.2">
      <c r="A166" s="45" t="s">
        <v>573</v>
      </c>
      <c r="B166" s="45">
        <v>1589</v>
      </c>
      <c r="C166" s="50" t="s">
        <v>574</v>
      </c>
      <c r="D166" s="50" t="s">
        <v>575</v>
      </c>
      <c r="E166" s="80" t="s">
        <v>308</v>
      </c>
      <c r="F166" s="50" t="s">
        <v>98</v>
      </c>
      <c r="G166" s="50" t="s">
        <v>576</v>
      </c>
      <c r="H166" s="88">
        <v>6297</v>
      </c>
      <c r="I166" s="88"/>
      <c r="J166" s="89"/>
      <c r="K166" s="89"/>
      <c r="L166" s="89">
        <f t="shared" si="4"/>
        <v>6297</v>
      </c>
      <c r="M166" s="87">
        <f t="shared" si="5"/>
        <v>6297</v>
      </c>
      <c r="N166" s="89"/>
      <c r="O166" s="89"/>
      <c r="P166" s="48">
        <v>41045</v>
      </c>
      <c r="Q166" s="48">
        <v>41229</v>
      </c>
      <c r="R166" s="49">
        <v>9075</v>
      </c>
    </row>
    <row r="167" spans="1:18" ht="51" x14ac:dyDescent="0.2">
      <c r="A167" s="45" t="s">
        <v>577</v>
      </c>
      <c r="B167" s="45">
        <v>1479</v>
      </c>
      <c r="C167" s="50" t="s">
        <v>243</v>
      </c>
      <c r="D167" s="50" t="s">
        <v>578</v>
      </c>
      <c r="E167" s="80" t="s">
        <v>308</v>
      </c>
      <c r="F167" s="50" t="s">
        <v>45</v>
      </c>
      <c r="G167" s="50" t="s">
        <v>579</v>
      </c>
      <c r="H167" s="88">
        <v>16114</v>
      </c>
      <c r="I167" s="88"/>
      <c r="J167" s="89"/>
      <c r="K167" s="89"/>
      <c r="L167" s="89">
        <f t="shared" si="4"/>
        <v>16114</v>
      </c>
      <c r="M167" s="87">
        <f t="shared" si="5"/>
        <v>16114</v>
      </c>
      <c r="N167" s="89"/>
      <c r="O167" s="89"/>
      <c r="P167" s="48">
        <v>41040</v>
      </c>
      <c r="Q167" s="48">
        <v>41224</v>
      </c>
      <c r="R167" s="49">
        <v>8804</v>
      </c>
    </row>
    <row r="168" spans="1:18" ht="25.5" x14ac:dyDescent="0.2">
      <c r="A168" s="45" t="s">
        <v>580</v>
      </c>
      <c r="B168" s="45">
        <v>1562</v>
      </c>
      <c r="C168" s="50" t="s">
        <v>507</v>
      </c>
      <c r="D168" s="50" t="s">
        <v>581</v>
      </c>
      <c r="E168" s="80" t="s">
        <v>308</v>
      </c>
      <c r="F168" s="50" t="s">
        <v>94</v>
      </c>
      <c r="G168" s="50" t="s">
        <v>582</v>
      </c>
      <c r="H168" s="88">
        <v>12530</v>
      </c>
      <c r="I168" s="88"/>
      <c r="J168" s="89"/>
      <c r="K168" s="89"/>
      <c r="L168" s="89">
        <f t="shared" si="4"/>
        <v>12530</v>
      </c>
      <c r="M168" s="87">
        <f t="shared" si="5"/>
        <v>12530</v>
      </c>
      <c r="N168" s="89"/>
      <c r="O168" s="89"/>
      <c r="P168" s="48">
        <v>41054</v>
      </c>
      <c r="Q168" s="48">
        <v>41238</v>
      </c>
      <c r="R168" s="49">
        <v>9043</v>
      </c>
    </row>
    <row r="169" spans="1:18" ht="51" x14ac:dyDescent="0.2">
      <c r="A169" s="45" t="s">
        <v>583</v>
      </c>
      <c r="B169" s="57">
        <v>14015</v>
      </c>
      <c r="C169" s="50" t="s">
        <v>66</v>
      </c>
      <c r="D169" s="60" t="s">
        <v>584</v>
      </c>
      <c r="E169" s="80" t="s">
        <v>585</v>
      </c>
      <c r="F169" s="50" t="s">
        <v>121</v>
      </c>
      <c r="G169" s="60" t="s">
        <v>586</v>
      </c>
      <c r="H169" s="88">
        <v>15000</v>
      </c>
      <c r="I169" s="88"/>
      <c r="J169" s="89"/>
      <c r="K169" s="89"/>
      <c r="L169" s="89">
        <f t="shared" si="4"/>
        <v>15000</v>
      </c>
      <c r="M169" s="87">
        <f t="shared" si="5"/>
        <v>15000</v>
      </c>
      <c r="N169" s="89"/>
      <c r="O169" s="89"/>
      <c r="P169" s="48">
        <v>41078</v>
      </c>
      <c r="Q169" s="48">
        <v>41808</v>
      </c>
      <c r="R169" s="49">
        <v>9680</v>
      </c>
    </row>
    <row r="170" spans="1:18" ht="51" x14ac:dyDescent="0.2">
      <c r="A170" s="45" t="s">
        <v>587</v>
      </c>
      <c r="B170" s="57">
        <v>18113</v>
      </c>
      <c r="C170" s="50" t="s">
        <v>66</v>
      </c>
      <c r="D170" s="60" t="s">
        <v>588</v>
      </c>
      <c r="E170" s="80" t="s">
        <v>585</v>
      </c>
      <c r="F170" s="50" t="s">
        <v>398</v>
      </c>
      <c r="G170" s="60" t="s">
        <v>589</v>
      </c>
      <c r="H170" s="88">
        <f>1800+1150</f>
        <v>2950</v>
      </c>
      <c r="I170" s="88"/>
      <c r="J170" s="89"/>
      <c r="K170" s="89">
        <v>20350</v>
      </c>
      <c r="L170" s="89">
        <f t="shared" si="4"/>
        <v>23300</v>
      </c>
      <c r="M170" s="87">
        <f t="shared" si="5"/>
        <v>23300</v>
      </c>
      <c r="N170" s="89"/>
      <c r="O170" s="89"/>
      <c r="P170" s="48">
        <v>41078</v>
      </c>
      <c r="Q170" s="48">
        <v>42265</v>
      </c>
      <c r="R170" s="49">
        <v>9677</v>
      </c>
    </row>
    <row r="171" spans="1:18" ht="63.75" x14ac:dyDescent="0.2">
      <c r="A171" s="45" t="s">
        <v>590</v>
      </c>
      <c r="B171" s="57">
        <v>18408</v>
      </c>
      <c r="C171" s="50" t="s">
        <v>66</v>
      </c>
      <c r="D171" s="60" t="s">
        <v>591</v>
      </c>
      <c r="E171" s="80" t="s">
        <v>585</v>
      </c>
      <c r="F171" s="50" t="s">
        <v>109</v>
      </c>
      <c r="G171" s="60" t="s">
        <v>592</v>
      </c>
      <c r="H171" s="88">
        <v>15000</v>
      </c>
      <c r="I171" s="88"/>
      <c r="J171" s="89"/>
      <c r="K171" s="89"/>
      <c r="L171" s="89">
        <f t="shared" si="4"/>
        <v>15000</v>
      </c>
      <c r="M171" s="87">
        <f t="shared" si="5"/>
        <v>15000</v>
      </c>
      <c r="N171" s="89"/>
      <c r="O171" s="89"/>
      <c r="P171" s="48">
        <v>41078</v>
      </c>
      <c r="Q171" s="48">
        <v>42903</v>
      </c>
      <c r="R171" s="49">
        <v>9689</v>
      </c>
    </row>
    <row r="172" spans="1:18" ht="51" x14ac:dyDescent="0.2">
      <c r="A172" s="45" t="s">
        <v>593</v>
      </c>
      <c r="B172" s="57">
        <v>18582</v>
      </c>
      <c r="C172" s="50" t="s">
        <v>66</v>
      </c>
      <c r="D172" s="60" t="s">
        <v>594</v>
      </c>
      <c r="E172" s="80" t="s">
        <v>585</v>
      </c>
      <c r="F172" s="50" t="s">
        <v>167</v>
      </c>
      <c r="G172" s="60" t="s">
        <v>595</v>
      </c>
      <c r="H172" s="88">
        <f>20100+1920+6000</f>
        <v>28020</v>
      </c>
      <c r="I172" s="88">
        <v>4320</v>
      </c>
      <c r="J172" s="89"/>
      <c r="K172" s="89">
        <v>17340</v>
      </c>
      <c r="L172" s="89">
        <f t="shared" si="4"/>
        <v>49680</v>
      </c>
      <c r="M172" s="87">
        <f t="shared" si="5"/>
        <v>49680</v>
      </c>
      <c r="N172" s="89"/>
      <c r="O172" s="89"/>
      <c r="P172" s="48">
        <v>41078</v>
      </c>
      <c r="Q172" s="48">
        <v>42904</v>
      </c>
      <c r="R172" s="49">
        <v>9692</v>
      </c>
    </row>
    <row r="173" spans="1:18" ht="38.25" x14ac:dyDescent="0.2">
      <c r="A173" s="45" t="s">
        <v>596</v>
      </c>
      <c r="B173" s="57">
        <v>20772</v>
      </c>
      <c r="C173" s="50" t="s">
        <v>66</v>
      </c>
      <c r="D173" s="60" t="s">
        <v>597</v>
      </c>
      <c r="E173" s="80" t="s">
        <v>585</v>
      </c>
      <c r="F173" s="50" t="s">
        <v>87</v>
      </c>
      <c r="G173" s="60" t="s">
        <v>598</v>
      </c>
      <c r="H173" s="88">
        <v>19000</v>
      </c>
      <c r="I173" s="88"/>
      <c r="J173" s="89"/>
      <c r="K173" s="89">
        <v>31000</v>
      </c>
      <c r="L173" s="89">
        <f t="shared" si="4"/>
        <v>50000</v>
      </c>
      <c r="M173" s="87">
        <f t="shared" si="5"/>
        <v>50000</v>
      </c>
      <c r="N173" s="89"/>
      <c r="O173" s="89"/>
      <c r="P173" s="48">
        <v>41078</v>
      </c>
      <c r="Q173" s="48">
        <v>42447</v>
      </c>
      <c r="R173" s="49">
        <v>9693</v>
      </c>
    </row>
    <row r="174" spans="1:18" ht="38.25" x14ac:dyDescent="0.2">
      <c r="A174" s="45" t="s">
        <v>599</v>
      </c>
      <c r="B174" s="57">
        <v>21089</v>
      </c>
      <c r="C174" s="50" t="s">
        <v>66</v>
      </c>
      <c r="D174" s="60" t="s">
        <v>600</v>
      </c>
      <c r="E174" s="80" t="s">
        <v>585</v>
      </c>
      <c r="F174" s="50" t="s">
        <v>71</v>
      </c>
      <c r="G174" s="60" t="s">
        <v>601</v>
      </c>
      <c r="H174" s="88">
        <f>1200+7706.5+1500+7400</f>
        <v>17806.5</v>
      </c>
      <c r="I174" s="88">
        <v>4320</v>
      </c>
      <c r="J174" s="89"/>
      <c r="K174" s="89">
        <v>2200</v>
      </c>
      <c r="L174" s="89">
        <f t="shared" si="4"/>
        <v>24326.5</v>
      </c>
      <c r="M174" s="87">
        <f t="shared" si="5"/>
        <v>24326.5</v>
      </c>
      <c r="N174" s="89"/>
      <c r="O174" s="89"/>
      <c r="P174" s="48">
        <v>41120</v>
      </c>
      <c r="Q174" s="48">
        <v>42307</v>
      </c>
      <c r="R174" s="49">
        <v>10930</v>
      </c>
    </row>
    <row r="175" spans="1:18" ht="38.25" x14ac:dyDescent="0.2">
      <c r="A175" s="45" t="s">
        <v>602</v>
      </c>
      <c r="B175" s="57">
        <v>21172</v>
      </c>
      <c r="C175" s="50" t="s">
        <v>66</v>
      </c>
      <c r="D175" s="60" t="s">
        <v>603</v>
      </c>
      <c r="E175" s="80" t="s">
        <v>585</v>
      </c>
      <c r="F175" s="50" t="s">
        <v>63</v>
      </c>
      <c r="G175" s="60" t="s">
        <v>604</v>
      </c>
      <c r="H175" s="88">
        <v>150</v>
      </c>
      <c r="I175" s="88"/>
      <c r="J175" s="89"/>
      <c r="K175" s="89">
        <v>24850</v>
      </c>
      <c r="L175" s="89">
        <f t="shared" si="4"/>
        <v>25000</v>
      </c>
      <c r="M175" s="87">
        <f t="shared" si="5"/>
        <v>25000</v>
      </c>
      <c r="N175" s="89"/>
      <c r="O175" s="89"/>
      <c r="P175" s="48">
        <v>41085</v>
      </c>
      <c r="Q175" s="48">
        <v>41815</v>
      </c>
      <c r="R175" s="49">
        <v>9913</v>
      </c>
    </row>
    <row r="176" spans="1:18" ht="38.25" x14ac:dyDescent="0.2">
      <c r="A176" s="45" t="s">
        <v>605</v>
      </c>
      <c r="B176" s="57">
        <v>22097</v>
      </c>
      <c r="C176" s="50" t="s">
        <v>66</v>
      </c>
      <c r="D176" s="60" t="s">
        <v>606</v>
      </c>
      <c r="E176" s="80" t="s">
        <v>585</v>
      </c>
      <c r="F176" s="50" t="s">
        <v>398</v>
      </c>
      <c r="G176" s="60" t="s">
        <v>607</v>
      </c>
      <c r="H176" s="88">
        <f>1250+5460</f>
        <v>6710</v>
      </c>
      <c r="I176" s="88"/>
      <c r="J176" s="89"/>
      <c r="K176" s="89">
        <v>17300</v>
      </c>
      <c r="L176" s="89">
        <f t="shared" si="4"/>
        <v>24010</v>
      </c>
      <c r="M176" s="87">
        <f t="shared" si="5"/>
        <v>24010</v>
      </c>
      <c r="N176" s="89"/>
      <c r="O176" s="89"/>
      <c r="P176" s="48">
        <v>41085</v>
      </c>
      <c r="Q176" s="48">
        <v>42454</v>
      </c>
      <c r="R176" s="49">
        <v>9915</v>
      </c>
    </row>
    <row r="177" spans="1:18" ht="51" x14ac:dyDescent="0.2">
      <c r="A177" s="45" t="s">
        <v>608</v>
      </c>
      <c r="B177" s="57">
        <v>22457</v>
      </c>
      <c r="C177" s="50" t="s">
        <v>66</v>
      </c>
      <c r="D177" s="60" t="s">
        <v>609</v>
      </c>
      <c r="E177" s="80" t="s">
        <v>585</v>
      </c>
      <c r="F177" s="50" t="s">
        <v>167</v>
      </c>
      <c r="G177" s="60" t="s">
        <v>610</v>
      </c>
      <c r="H177" s="88">
        <f>4830+3760</f>
        <v>8590</v>
      </c>
      <c r="I177" s="88">
        <v>8640</v>
      </c>
      <c r="J177" s="89"/>
      <c r="K177" s="89">
        <v>6730</v>
      </c>
      <c r="L177" s="89">
        <f t="shared" si="4"/>
        <v>23960</v>
      </c>
      <c r="M177" s="87">
        <f t="shared" si="5"/>
        <v>23960</v>
      </c>
      <c r="N177" s="89"/>
      <c r="O177" s="89"/>
      <c r="P177" s="48">
        <v>41078</v>
      </c>
      <c r="Q177" s="48">
        <v>42812</v>
      </c>
      <c r="R177" s="49">
        <v>9699</v>
      </c>
    </row>
    <row r="178" spans="1:18" ht="38.25" x14ac:dyDescent="0.2">
      <c r="A178" s="45" t="s">
        <v>611</v>
      </c>
      <c r="B178" s="57">
        <v>22537</v>
      </c>
      <c r="C178" s="50" t="s">
        <v>66</v>
      </c>
      <c r="D178" s="60" t="s">
        <v>612</v>
      </c>
      <c r="E178" s="80" t="s">
        <v>585</v>
      </c>
      <c r="F178" s="50" t="s">
        <v>398</v>
      </c>
      <c r="G178" s="60" t="s">
        <v>613</v>
      </c>
      <c r="H178" s="88">
        <f>1700+869+3300</f>
        <v>5869</v>
      </c>
      <c r="I178" s="88">
        <v>8640</v>
      </c>
      <c r="J178" s="89"/>
      <c r="K178" s="89">
        <v>10429</v>
      </c>
      <c r="L178" s="89">
        <f t="shared" si="4"/>
        <v>24938</v>
      </c>
      <c r="M178" s="87">
        <f t="shared" si="5"/>
        <v>24938</v>
      </c>
      <c r="N178" s="89"/>
      <c r="O178" s="89"/>
      <c r="P178" s="48">
        <v>41078</v>
      </c>
      <c r="Q178" s="48">
        <v>42265</v>
      </c>
      <c r="R178" s="49">
        <v>9712</v>
      </c>
    </row>
    <row r="179" spans="1:18" s="1" customFormat="1" ht="38.25" x14ac:dyDescent="0.2">
      <c r="A179" s="45" t="s">
        <v>614</v>
      </c>
      <c r="B179" s="57">
        <v>22595</v>
      </c>
      <c r="C179" s="50" t="s">
        <v>66</v>
      </c>
      <c r="D179" s="60" t="s">
        <v>547</v>
      </c>
      <c r="E179" s="80" t="s">
        <v>585</v>
      </c>
      <c r="F179" s="50" t="s">
        <v>98</v>
      </c>
      <c r="G179" s="60" t="s">
        <v>615</v>
      </c>
      <c r="H179" s="88"/>
      <c r="I179" s="88">
        <v>8640</v>
      </c>
      <c r="J179" s="89"/>
      <c r="K179" s="89">
        <f>263+1500+4500+3600+480+1500+3399</f>
        <v>15242</v>
      </c>
      <c r="L179" s="89">
        <f t="shared" si="4"/>
        <v>23882</v>
      </c>
      <c r="M179" s="87">
        <f t="shared" si="5"/>
        <v>23882</v>
      </c>
      <c r="N179" s="89"/>
      <c r="O179" s="89"/>
      <c r="P179" s="48">
        <v>41078</v>
      </c>
      <c r="Q179" s="48">
        <v>42612</v>
      </c>
      <c r="R179" s="49">
        <v>9716</v>
      </c>
    </row>
    <row r="180" spans="1:18" s="1" customFormat="1" ht="38.25" x14ac:dyDescent="0.2">
      <c r="A180" s="45" t="s">
        <v>616</v>
      </c>
      <c r="B180" s="57">
        <v>22714</v>
      </c>
      <c r="C180" s="50" t="s">
        <v>369</v>
      </c>
      <c r="D180" s="60" t="s">
        <v>617</v>
      </c>
      <c r="E180" s="80" t="s">
        <v>585</v>
      </c>
      <c r="F180" s="50" t="s">
        <v>109</v>
      </c>
      <c r="G180" s="60" t="s">
        <v>618</v>
      </c>
      <c r="H180" s="88">
        <v>9000</v>
      </c>
      <c r="I180" s="88"/>
      <c r="J180" s="89"/>
      <c r="K180" s="89">
        <v>15000</v>
      </c>
      <c r="L180" s="89">
        <f t="shared" si="4"/>
        <v>24000</v>
      </c>
      <c r="M180" s="87">
        <f t="shared" si="5"/>
        <v>24000</v>
      </c>
      <c r="N180" s="89"/>
      <c r="O180" s="89"/>
      <c r="P180" s="48">
        <v>41092</v>
      </c>
      <c r="Q180" s="48">
        <v>42371</v>
      </c>
      <c r="R180" s="61">
        <v>10139</v>
      </c>
    </row>
    <row r="181" spans="1:18" s="1" customFormat="1" ht="38.25" x14ac:dyDescent="0.2">
      <c r="A181" s="45" t="s">
        <v>619</v>
      </c>
      <c r="B181" s="57">
        <v>22734</v>
      </c>
      <c r="C181" s="50" t="s">
        <v>66</v>
      </c>
      <c r="D181" s="60" t="s">
        <v>544</v>
      </c>
      <c r="E181" s="80" t="s">
        <v>585</v>
      </c>
      <c r="F181" s="50" t="s">
        <v>398</v>
      </c>
      <c r="G181" s="60" t="s">
        <v>620</v>
      </c>
      <c r="H181" s="88">
        <f>1440+1440</f>
        <v>2880</v>
      </c>
      <c r="I181" s="88"/>
      <c r="J181" s="89"/>
      <c r="K181" s="89">
        <v>21700</v>
      </c>
      <c r="L181" s="89">
        <f t="shared" si="4"/>
        <v>24580</v>
      </c>
      <c r="M181" s="87">
        <f t="shared" si="5"/>
        <v>24580</v>
      </c>
      <c r="N181" s="89"/>
      <c r="O181" s="89"/>
      <c r="P181" s="48">
        <v>41078</v>
      </c>
      <c r="Q181" s="48">
        <v>42265</v>
      </c>
      <c r="R181" s="49">
        <v>9718</v>
      </c>
    </row>
    <row r="182" spans="1:18" s="1" customFormat="1" ht="38.25" x14ac:dyDescent="0.2">
      <c r="A182" s="45" t="s">
        <v>621</v>
      </c>
      <c r="B182" s="57">
        <v>22819</v>
      </c>
      <c r="C182" s="50" t="s">
        <v>66</v>
      </c>
      <c r="D182" s="60" t="s">
        <v>622</v>
      </c>
      <c r="E182" s="80" t="s">
        <v>585</v>
      </c>
      <c r="F182" s="50" t="s">
        <v>167</v>
      </c>
      <c r="G182" s="60" t="s">
        <v>623</v>
      </c>
      <c r="H182" s="88">
        <f>1200+9000</f>
        <v>10200</v>
      </c>
      <c r="I182" s="88">
        <v>8640</v>
      </c>
      <c r="J182" s="89"/>
      <c r="K182" s="89">
        <v>6000</v>
      </c>
      <c r="L182" s="89">
        <f t="shared" si="4"/>
        <v>24840</v>
      </c>
      <c r="M182" s="87">
        <f t="shared" si="5"/>
        <v>24840</v>
      </c>
      <c r="N182" s="89"/>
      <c r="O182" s="89"/>
      <c r="P182" s="48">
        <v>41078</v>
      </c>
      <c r="Q182" s="48">
        <v>42265</v>
      </c>
      <c r="R182" s="49">
        <v>9722</v>
      </c>
    </row>
    <row r="183" spans="1:18" s="1" customFormat="1" ht="38.25" x14ac:dyDescent="0.2">
      <c r="A183" s="45" t="s">
        <v>624</v>
      </c>
      <c r="B183" s="57">
        <v>22938</v>
      </c>
      <c r="C183" s="50" t="s">
        <v>66</v>
      </c>
      <c r="D183" s="60" t="s">
        <v>625</v>
      </c>
      <c r="E183" s="80" t="s">
        <v>585</v>
      </c>
      <c r="F183" s="50" t="s">
        <v>167</v>
      </c>
      <c r="G183" s="60" t="s">
        <v>626</v>
      </c>
      <c r="H183" s="88">
        <v>3600</v>
      </c>
      <c r="I183" s="88">
        <v>8640</v>
      </c>
      <c r="J183" s="89"/>
      <c r="K183" s="89">
        <v>12500</v>
      </c>
      <c r="L183" s="89">
        <f t="shared" si="4"/>
        <v>24740</v>
      </c>
      <c r="M183" s="87">
        <f t="shared" si="5"/>
        <v>24740</v>
      </c>
      <c r="N183" s="89"/>
      <c r="O183" s="89"/>
      <c r="P183" s="48">
        <v>41078</v>
      </c>
      <c r="Q183" s="48">
        <v>42870</v>
      </c>
      <c r="R183" s="49">
        <v>9725</v>
      </c>
    </row>
    <row r="184" spans="1:18" s="1" customFormat="1" ht="51" x14ac:dyDescent="0.2">
      <c r="A184" s="45" t="s">
        <v>627</v>
      </c>
      <c r="B184" s="57">
        <v>23116</v>
      </c>
      <c r="C184" s="50" t="s">
        <v>66</v>
      </c>
      <c r="D184" s="60" t="s">
        <v>628</v>
      </c>
      <c r="E184" s="80" t="s">
        <v>585</v>
      </c>
      <c r="F184" s="50" t="s">
        <v>22</v>
      </c>
      <c r="G184" s="60" t="s">
        <v>629</v>
      </c>
      <c r="H184" s="88">
        <v>1000</v>
      </c>
      <c r="I184" s="88"/>
      <c r="J184" s="89"/>
      <c r="K184" s="89">
        <f>7200+1800+500</f>
        <v>9500</v>
      </c>
      <c r="L184" s="89">
        <f t="shared" si="4"/>
        <v>10500</v>
      </c>
      <c r="M184" s="87">
        <f t="shared" si="5"/>
        <v>10500</v>
      </c>
      <c r="N184" s="89"/>
      <c r="O184" s="89"/>
      <c r="P184" s="48">
        <v>41085</v>
      </c>
      <c r="Q184" s="48">
        <v>42272</v>
      </c>
      <c r="R184" s="49">
        <v>10407</v>
      </c>
    </row>
    <row r="185" spans="1:18" s="1" customFormat="1" ht="38.25" x14ac:dyDescent="0.2">
      <c r="A185" s="45" t="s">
        <v>630</v>
      </c>
      <c r="B185" s="57">
        <v>23348</v>
      </c>
      <c r="C185" s="50" t="s">
        <v>66</v>
      </c>
      <c r="D185" s="60" t="s">
        <v>631</v>
      </c>
      <c r="E185" s="80" t="s">
        <v>585</v>
      </c>
      <c r="F185" s="50" t="s">
        <v>98</v>
      </c>
      <c r="G185" s="60" t="s">
        <v>632</v>
      </c>
      <c r="H185" s="88">
        <f>2400+3800+3000+1000</f>
        <v>10200</v>
      </c>
      <c r="I185" s="88">
        <v>8640</v>
      </c>
      <c r="J185" s="89"/>
      <c r="K185" s="89">
        <f>1600+1500</f>
        <v>3100</v>
      </c>
      <c r="L185" s="89">
        <f t="shared" si="4"/>
        <v>21940</v>
      </c>
      <c r="M185" s="87">
        <f t="shared" si="5"/>
        <v>21940</v>
      </c>
      <c r="N185" s="89"/>
      <c r="O185" s="89"/>
      <c r="P185" s="48">
        <v>41078</v>
      </c>
      <c r="Q185" s="48">
        <v>42904</v>
      </c>
      <c r="R185" s="49">
        <v>9682</v>
      </c>
    </row>
    <row r="186" spans="1:18" s="1" customFormat="1" ht="38.25" x14ac:dyDescent="0.2">
      <c r="A186" s="45" t="s">
        <v>633</v>
      </c>
      <c r="B186" s="57">
        <v>23457</v>
      </c>
      <c r="C186" s="50" t="s">
        <v>66</v>
      </c>
      <c r="D186" s="60" t="s">
        <v>634</v>
      </c>
      <c r="E186" s="80" t="s">
        <v>585</v>
      </c>
      <c r="F186" s="50" t="s">
        <v>87</v>
      </c>
      <c r="G186" s="60" t="s">
        <v>635</v>
      </c>
      <c r="H186" s="88">
        <v>5000</v>
      </c>
      <c r="I186" s="88">
        <v>4320</v>
      </c>
      <c r="J186" s="89"/>
      <c r="K186" s="89">
        <v>5300</v>
      </c>
      <c r="L186" s="89">
        <f t="shared" si="4"/>
        <v>14620</v>
      </c>
      <c r="M186" s="87">
        <f t="shared" si="5"/>
        <v>14620</v>
      </c>
      <c r="N186" s="89"/>
      <c r="O186" s="89"/>
      <c r="P186" s="48">
        <v>41085</v>
      </c>
      <c r="Q186" s="48">
        <v>42272</v>
      </c>
      <c r="R186" s="49">
        <v>10410</v>
      </c>
    </row>
    <row r="187" spans="1:18" s="1" customFormat="1" ht="25.5" x14ac:dyDescent="0.2">
      <c r="A187" s="45" t="s">
        <v>636</v>
      </c>
      <c r="B187" s="57">
        <v>23712</v>
      </c>
      <c r="C187" s="50" t="s">
        <v>66</v>
      </c>
      <c r="D187" s="60" t="s">
        <v>637</v>
      </c>
      <c r="E187" s="80" t="s">
        <v>585</v>
      </c>
      <c r="F187" s="50" t="s">
        <v>109</v>
      </c>
      <c r="G187" s="60" t="s">
        <v>638</v>
      </c>
      <c r="H187" s="88">
        <f>19800+3400</f>
        <v>23200</v>
      </c>
      <c r="I187" s="88"/>
      <c r="J187" s="89"/>
      <c r="K187" s="89"/>
      <c r="L187" s="89">
        <f t="shared" si="4"/>
        <v>23200</v>
      </c>
      <c r="M187" s="87">
        <f t="shared" si="5"/>
        <v>23200</v>
      </c>
      <c r="N187" s="89"/>
      <c r="O187" s="89"/>
      <c r="P187" s="48">
        <v>41092</v>
      </c>
      <c r="Q187" s="48">
        <v>42918</v>
      </c>
      <c r="R187" s="61">
        <v>10155</v>
      </c>
    </row>
    <row r="188" spans="1:18" s="1" customFormat="1" ht="25.5" x14ac:dyDescent="0.2">
      <c r="A188" s="45" t="s">
        <v>639</v>
      </c>
      <c r="B188" s="57">
        <v>1966</v>
      </c>
      <c r="C188" s="50" t="s">
        <v>238</v>
      </c>
      <c r="D188" s="60" t="s">
        <v>640</v>
      </c>
      <c r="E188" s="80" t="s">
        <v>585</v>
      </c>
      <c r="F188" s="50" t="s">
        <v>63</v>
      </c>
      <c r="G188" s="60" t="s">
        <v>641</v>
      </c>
      <c r="H188" s="88">
        <f>2400+1000+3000</f>
        <v>6400</v>
      </c>
      <c r="I188" s="88">
        <v>8640</v>
      </c>
      <c r="J188" s="89"/>
      <c r="K188" s="89"/>
      <c r="L188" s="89">
        <f t="shared" si="4"/>
        <v>15040</v>
      </c>
      <c r="M188" s="87">
        <f t="shared" si="5"/>
        <v>15040</v>
      </c>
      <c r="N188" s="89"/>
      <c r="O188" s="89"/>
      <c r="P188" s="48">
        <v>41078</v>
      </c>
      <c r="Q188" s="48">
        <v>41808</v>
      </c>
      <c r="R188" s="49">
        <v>10492</v>
      </c>
    </row>
    <row r="189" spans="1:18" s="1" customFormat="1" ht="51" x14ac:dyDescent="0.2">
      <c r="A189" s="45" t="s">
        <v>642</v>
      </c>
      <c r="B189" s="57">
        <v>10095</v>
      </c>
      <c r="C189" s="50" t="s">
        <v>238</v>
      </c>
      <c r="D189" s="60" t="s">
        <v>643</v>
      </c>
      <c r="E189" s="80" t="s">
        <v>585</v>
      </c>
      <c r="F189" s="50" t="s">
        <v>87</v>
      </c>
      <c r="G189" s="60" t="s">
        <v>644</v>
      </c>
      <c r="H189" s="88">
        <f>3000+20000+1000</f>
        <v>24000</v>
      </c>
      <c r="I189" s="88"/>
      <c r="J189" s="89"/>
      <c r="K189" s="89"/>
      <c r="L189" s="89">
        <f t="shared" si="4"/>
        <v>24000</v>
      </c>
      <c r="M189" s="87">
        <f t="shared" si="5"/>
        <v>24000</v>
      </c>
      <c r="N189" s="89"/>
      <c r="O189" s="89"/>
      <c r="P189" s="48">
        <v>41078</v>
      </c>
      <c r="Q189" s="48">
        <v>42094</v>
      </c>
      <c r="R189" s="49">
        <v>10491</v>
      </c>
    </row>
    <row r="190" spans="1:18" s="1" customFormat="1" ht="76.5" x14ac:dyDescent="0.2">
      <c r="A190" s="45" t="s">
        <v>645</v>
      </c>
      <c r="B190" s="57">
        <v>15166</v>
      </c>
      <c r="C190" s="50" t="s">
        <v>238</v>
      </c>
      <c r="D190" s="60" t="s">
        <v>646</v>
      </c>
      <c r="E190" s="80" t="s">
        <v>585</v>
      </c>
      <c r="F190" s="50" t="s">
        <v>87</v>
      </c>
      <c r="G190" s="60" t="s">
        <v>647</v>
      </c>
      <c r="H190" s="88">
        <v>23000</v>
      </c>
      <c r="I190" s="88"/>
      <c r="J190" s="89"/>
      <c r="K190" s="89"/>
      <c r="L190" s="89">
        <f t="shared" si="4"/>
        <v>23000</v>
      </c>
      <c r="M190" s="87">
        <f t="shared" si="5"/>
        <v>23000</v>
      </c>
      <c r="N190" s="89"/>
      <c r="O190" s="89"/>
      <c r="P190" s="48">
        <v>41078</v>
      </c>
      <c r="Q190" s="48">
        <v>42631</v>
      </c>
      <c r="R190" s="49">
        <v>10485</v>
      </c>
    </row>
    <row r="191" spans="1:18" s="1" customFormat="1" ht="38.25" x14ac:dyDescent="0.2">
      <c r="A191" s="45" t="s">
        <v>648</v>
      </c>
      <c r="B191" s="57">
        <v>19338</v>
      </c>
      <c r="C191" s="50" t="s">
        <v>238</v>
      </c>
      <c r="D191" s="60" t="s">
        <v>649</v>
      </c>
      <c r="E191" s="80" t="s">
        <v>585</v>
      </c>
      <c r="F191" s="50" t="s">
        <v>63</v>
      </c>
      <c r="G191" s="60" t="s">
        <v>650</v>
      </c>
      <c r="H191" s="88">
        <f>3000+2000</f>
        <v>5000</v>
      </c>
      <c r="I191" s="88"/>
      <c r="J191" s="89"/>
      <c r="K191" s="89">
        <v>5900</v>
      </c>
      <c r="L191" s="89">
        <f t="shared" si="4"/>
        <v>10900</v>
      </c>
      <c r="M191" s="87">
        <f t="shared" si="5"/>
        <v>10900</v>
      </c>
      <c r="N191" s="89"/>
      <c r="O191" s="89"/>
      <c r="P191" s="48">
        <v>41078</v>
      </c>
      <c r="Q191" s="48">
        <v>42265</v>
      </c>
      <c r="R191" s="49">
        <v>10412</v>
      </c>
    </row>
    <row r="192" spans="1:18" s="1" customFormat="1" ht="38.25" x14ac:dyDescent="0.2">
      <c r="A192" s="45" t="s">
        <v>651</v>
      </c>
      <c r="B192" s="57">
        <v>21601</v>
      </c>
      <c r="C192" s="50" t="s">
        <v>238</v>
      </c>
      <c r="D192" s="60" t="s">
        <v>239</v>
      </c>
      <c r="E192" s="80" t="s">
        <v>585</v>
      </c>
      <c r="F192" s="50" t="s">
        <v>240</v>
      </c>
      <c r="G192" s="60" t="s">
        <v>652</v>
      </c>
      <c r="H192" s="88">
        <f>3705.5+1000+2600+2800+5000</f>
        <v>15105.5</v>
      </c>
      <c r="I192" s="88"/>
      <c r="J192" s="89"/>
      <c r="K192" s="89">
        <f>1000+1500+1000</f>
        <v>3500</v>
      </c>
      <c r="L192" s="89">
        <f t="shared" si="4"/>
        <v>18605.5</v>
      </c>
      <c r="M192" s="87">
        <f t="shared" si="5"/>
        <v>18605.5</v>
      </c>
      <c r="N192" s="89"/>
      <c r="O192" s="89"/>
      <c r="P192" s="48">
        <v>41078</v>
      </c>
      <c r="Q192" s="48">
        <v>41808</v>
      </c>
      <c r="R192" s="49">
        <v>10509</v>
      </c>
    </row>
    <row r="193" spans="1:18" s="1" customFormat="1" ht="38.25" x14ac:dyDescent="0.2">
      <c r="A193" s="45" t="s">
        <v>653</v>
      </c>
      <c r="B193" s="57">
        <v>22254</v>
      </c>
      <c r="C193" s="50" t="s">
        <v>238</v>
      </c>
      <c r="D193" s="60" t="s">
        <v>654</v>
      </c>
      <c r="E193" s="80" t="s">
        <v>585</v>
      </c>
      <c r="F193" s="50" t="s">
        <v>71</v>
      </c>
      <c r="G193" s="60" t="s">
        <v>655</v>
      </c>
      <c r="H193" s="88">
        <f>3630+5200</f>
        <v>8830</v>
      </c>
      <c r="I193" s="88"/>
      <c r="J193" s="89"/>
      <c r="K193" s="89">
        <v>9500</v>
      </c>
      <c r="L193" s="89">
        <f t="shared" si="4"/>
        <v>18330</v>
      </c>
      <c r="M193" s="87">
        <f t="shared" si="5"/>
        <v>18330</v>
      </c>
      <c r="N193" s="89"/>
      <c r="O193" s="89"/>
      <c r="P193" s="48">
        <v>41078</v>
      </c>
      <c r="Q193" s="48">
        <v>41942</v>
      </c>
      <c r="R193" s="49">
        <v>10511</v>
      </c>
    </row>
    <row r="194" spans="1:18" s="1" customFormat="1" ht="51" x14ac:dyDescent="0.2">
      <c r="A194" s="45" t="s">
        <v>656</v>
      </c>
      <c r="B194" s="57">
        <v>22593</v>
      </c>
      <c r="C194" s="50" t="s">
        <v>238</v>
      </c>
      <c r="D194" s="60" t="s">
        <v>657</v>
      </c>
      <c r="E194" s="80" t="s">
        <v>585</v>
      </c>
      <c r="F194" s="50" t="s">
        <v>87</v>
      </c>
      <c r="G194" s="60" t="s">
        <v>658</v>
      </c>
      <c r="H194" s="88">
        <v>21839.96</v>
      </c>
      <c r="I194" s="88"/>
      <c r="J194" s="89"/>
      <c r="K194" s="89"/>
      <c r="L194" s="89">
        <f t="shared" si="4"/>
        <v>21839.96</v>
      </c>
      <c r="M194" s="87">
        <f t="shared" si="5"/>
        <v>21839.96</v>
      </c>
      <c r="N194" s="89"/>
      <c r="O194" s="89"/>
      <c r="P194" s="48">
        <v>41078</v>
      </c>
      <c r="Q194" s="48">
        <v>42081</v>
      </c>
      <c r="R194" s="49">
        <v>10352</v>
      </c>
    </row>
    <row r="195" spans="1:18" s="1" customFormat="1" ht="25.5" x14ac:dyDescent="0.2">
      <c r="A195" s="45" t="s">
        <v>659</v>
      </c>
      <c r="B195" s="57">
        <v>22682</v>
      </c>
      <c r="C195" s="50" t="s">
        <v>238</v>
      </c>
      <c r="D195" s="60" t="s">
        <v>660</v>
      </c>
      <c r="E195" s="80" t="s">
        <v>585</v>
      </c>
      <c r="F195" s="50" t="s">
        <v>63</v>
      </c>
      <c r="G195" s="60" t="s">
        <v>661</v>
      </c>
      <c r="H195" s="88">
        <f>12634+1896</f>
        <v>14530</v>
      </c>
      <c r="I195" s="88"/>
      <c r="J195" s="89"/>
      <c r="K195" s="89"/>
      <c r="L195" s="89">
        <f t="shared" si="4"/>
        <v>14530</v>
      </c>
      <c r="M195" s="87">
        <f t="shared" si="5"/>
        <v>14530</v>
      </c>
      <c r="N195" s="89"/>
      <c r="O195" s="89"/>
      <c r="P195" s="48">
        <v>41078</v>
      </c>
      <c r="Q195" s="48">
        <v>42185</v>
      </c>
      <c r="R195" s="49">
        <v>10354</v>
      </c>
    </row>
    <row r="196" spans="1:18" s="1" customFormat="1" ht="51" x14ac:dyDescent="0.2">
      <c r="A196" s="45" t="s">
        <v>662</v>
      </c>
      <c r="B196" s="57">
        <v>22701</v>
      </c>
      <c r="C196" s="50" t="s">
        <v>238</v>
      </c>
      <c r="D196" s="60" t="s">
        <v>663</v>
      </c>
      <c r="E196" s="80" t="s">
        <v>585</v>
      </c>
      <c r="F196" s="50" t="s">
        <v>63</v>
      </c>
      <c r="G196" s="60" t="s">
        <v>664</v>
      </c>
      <c r="H196" s="88">
        <v>11850</v>
      </c>
      <c r="I196" s="88"/>
      <c r="J196" s="89"/>
      <c r="K196" s="89"/>
      <c r="L196" s="89">
        <f t="shared" si="4"/>
        <v>11850</v>
      </c>
      <c r="M196" s="87">
        <f t="shared" si="5"/>
        <v>11850</v>
      </c>
      <c r="N196" s="89"/>
      <c r="O196" s="89"/>
      <c r="P196" s="48">
        <v>41078</v>
      </c>
      <c r="Q196" s="48">
        <v>41808</v>
      </c>
      <c r="R196" s="49">
        <v>10396</v>
      </c>
    </row>
    <row r="197" spans="1:18" s="1" customFormat="1" ht="51" x14ac:dyDescent="0.2">
      <c r="A197" s="45" t="s">
        <v>665</v>
      </c>
      <c r="B197" s="57">
        <v>22770</v>
      </c>
      <c r="C197" s="50" t="s">
        <v>238</v>
      </c>
      <c r="D197" s="60" t="s">
        <v>666</v>
      </c>
      <c r="E197" s="80" t="s">
        <v>585</v>
      </c>
      <c r="F197" s="50" t="s">
        <v>87</v>
      </c>
      <c r="G197" s="60" t="s">
        <v>667</v>
      </c>
      <c r="H197" s="88">
        <v>12655.5</v>
      </c>
      <c r="I197" s="88"/>
      <c r="J197" s="89"/>
      <c r="K197" s="89"/>
      <c r="L197" s="89">
        <f t="shared" si="4"/>
        <v>12655.5</v>
      </c>
      <c r="M197" s="87">
        <f t="shared" si="5"/>
        <v>12655.5</v>
      </c>
      <c r="N197" s="89"/>
      <c r="O197" s="89"/>
      <c r="P197" s="48">
        <v>41078</v>
      </c>
      <c r="Q197" s="48">
        <v>42264</v>
      </c>
      <c r="R197" s="49">
        <v>10399</v>
      </c>
    </row>
    <row r="198" spans="1:18" s="1" customFormat="1" ht="25.5" x14ac:dyDescent="0.2">
      <c r="A198" s="45" t="s">
        <v>668</v>
      </c>
      <c r="B198" s="57">
        <v>23164</v>
      </c>
      <c r="C198" s="50" t="s">
        <v>238</v>
      </c>
      <c r="D198" s="60" t="s">
        <v>669</v>
      </c>
      <c r="E198" s="80" t="s">
        <v>585</v>
      </c>
      <c r="F198" s="50" t="s">
        <v>63</v>
      </c>
      <c r="G198" s="60" t="s">
        <v>670</v>
      </c>
      <c r="H198" s="88">
        <v>1280</v>
      </c>
      <c r="I198" s="88"/>
      <c r="J198" s="89"/>
      <c r="K198" s="89">
        <v>12940</v>
      </c>
      <c r="L198" s="89">
        <f t="shared" si="4"/>
        <v>14220</v>
      </c>
      <c r="M198" s="87">
        <f t="shared" si="5"/>
        <v>14220</v>
      </c>
      <c r="N198" s="89"/>
      <c r="O198" s="89"/>
      <c r="P198" s="48">
        <v>41085</v>
      </c>
      <c r="Q198" s="48">
        <v>41815</v>
      </c>
      <c r="R198" s="49">
        <v>10459</v>
      </c>
    </row>
    <row r="199" spans="1:18" s="1" customFormat="1" ht="38.25" x14ac:dyDescent="0.2">
      <c r="A199" s="45" t="s">
        <v>671</v>
      </c>
      <c r="B199" s="57">
        <v>23715</v>
      </c>
      <c r="C199" s="50" t="s">
        <v>238</v>
      </c>
      <c r="D199" s="60" t="s">
        <v>672</v>
      </c>
      <c r="E199" s="80" t="s">
        <v>585</v>
      </c>
      <c r="F199" s="50" t="s">
        <v>63</v>
      </c>
      <c r="G199" s="60" t="s">
        <v>673</v>
      </c>
      <c r="H199" s="88">
        <v>45000</v>
      </c>
      <c r="I199" s="88"/>
      <c r="J199" s="89"/>
      <c r="K199" s="89">
        <v>37000</v>
      </c>
      <c r="L199" s="89">
        <f t="shared" ref="L199:L262" si="6">H199+I199+J199+K199</f>
        <v>82000</v>
      </c>
      <c r="M199" s="87">
        <f t="shared" ref="M199:M262" si="7">SUM(L199)</f>
        <v>82000</v>
      </c>
      <c r="N199" s="89"/>
      <c r="O199" s="89"/>
      <c r="P199" s="48">
        <v>41078</v>
      </c>
      <c r="Q199" s="48">
        <v>42173</v>
      </c>
      <c r="R199" s="49">
        <v>10341</v>
      </c>
    </row>
    <row r="200" spans="1:18" s="1" customFormat="1" ht="38.25" x14ac:dyDescent="0.2">
      <c r="A200" s="45" t="s">
        <v>674</v>
      </c>
      <c r="B200" s="57">
        <v>23742</v>
      </c>
      <c r="C200" s="50" t="s">
        <v>238</v>
      </c>
      <c r="D200" s="60" t="s">
        <v>675</v>
      </c>
      <c r="E200" s="80" t="s">
        <v>585</v>
      </c>
      <c r="F200" s="50" t="s">
        <v>22</v>
      </c>
      <c r="G200" s="60" t="s">
        <v>676</v>
      </c>
      <c r="H200" s="88">
        <f>10380+16800</f>
        <v>27180</v>
      </c>
      <c r="I200" s="88"/>
      <c r="J200" s="89"/>
      <c r="K200" s="89">
        <v>9000</v>
      </c>
      <c r="L200" s="89">
        <f t="shared" si="6"/>
        <v>36180</v>
      </c>
      <c r="M200" s="87">
        <f t="shared" si="7"/>
        <v>36180</v>
      </c>
      <c r="N200" s="89"/>
      <c r="O200" s="89"/>
      <c r="P200" s="48">
        <v>41078</v>
      </c>
      <c r="Q200" s="48">
        <v>41808</v>
      </c>
      <c r="R200" s="49">
        <v>10409</v>
      </c>
    </row>
    <row r="201" spans="1:18" s="1" customFormat="1" ht="63.75" x14ac:dyDescent="0.2">
      <c r="A201" s="45" t="s">
        <v>677</v>
      </c>
      <c r="B201" s="57">
        <v>14836</v>
      </c>
      <c r="C201" s="50" t="s">
        <v>390</v>
      </c>
      <c r="D201" s="50" t="s">
        <v>678</v>
      </c>
      <c r="E201" s="80" t="s">
        <v>585</v>
      </c>
      <c r="F201" s="50" t="s">
        <v>398</v>
      </c>
      <c r="G201" s="60" t="s">
        <v>679</v>
      </c>
      <c r="H201" s="88">
        <f>8000+13420+15540</f>
        <v>36960</v>
      </c>
      <c r="I201" s="88"/>
      <c r="J201" s="89"/>
      <c r="K201" s="89"/>
      <c r="L201" s="89">
        <f t="shared" si="6"/>
        <v>36960</v>
      </c>
      <c r="M201" s="87">
        <f t="shared" si="7"/>
        <v>36960</v>
      </c>
      <c r="N201" s="89"/>
      <c r="O201" s="89"/>
      <c r="P201" s="48">
        <v>41078</v>
      </c>
      <c r="Q201" s="48">
        <v>42053</v>
      </c>
      <c r="R201" s="61">
        <v>10042</v>
      </c>
    </row>
    <row r="202" spans="1:18" s="1" customFormat="1" ht="38.25" x14ac:dyDescent="0.2">
      <c r="A202" s="45" t="s">
        <v>680</v>
      </c>
      <c r="B202" s="45">
        <v>15720</v>
      </c>
      <c r="C202" s="50" t="s">
        <v>390</v>
      </c>
      <c r="D202" s="50" t="s">
        <v>681</v>
      </c>
      <c r="E202" s="80" t="s">
        <v>585</v>
      </c>
      <c r="F202" s="50" t="s">
        <v>398</v>
      </c>
      <c r="G202" s="60" t="s">
        <v>682</v>
      </c>
      <c r="H202" s="88">
        <v>24630</v>
      </c>
      <c r="I202" s="88"/>
      <c r="J202" s="89"/>
      <c r="K202" s="89"/>
      <c r="L202" s="89">
        <f t="shared" si="6"/>
        <v>24630</v>
      </c>
      <c r="M202" s="87">
        <f t="shared" si="7"/>
        <v>24630</v>
      </c>
      <c r="N202" s="89"/>
      <c r="O202" s="89"/>
      <c r="P202" s="48">
        <v>41078</v>
      </c>
      <c r="Q202" s="48">
        <v>42418</v>
      </c>
      <c r="R202" s="49">
        <v>9999</v>
      </c>
    </row>
    <row r="203" spans="1:18" s="1" customFormat="1" ht="51" x14ac:dyDescent="0.2">
      <c r="A203" s="45" t="s">
        <v>683</v>
      </c>
      <c r="B203" s="45">
        <v>22535</v>
      </c>
      <c r="C203" s="50" t="s">
        <v>263</v>
      </c>
      <c r="D203" s="50" t="s">
        <v>684</v>
      </c>
      <c r="E203" s="80" t="s">
        <v>585</v>
      </c>
      <c r="F203" s="50" t="s">
        <v>167</v>
      </c>
      <c r="G203" s="60" t="s">
        <v>685</v>
      </c>
      <c r="H203" s="88">
        <v>14000</v>
      </c>
      <c r="I203" s="88"/>
      <c r="J203" s="89"/>
      <c r="K203" s="89">
        <v>11000</v>
      </c>
      <c r="L203" s="89">
        <f t="shared" si="6"/>
        <v>25000</v>
      </c>
      <c r="M203" s="87">
        <f t="shared" si="7"/>
        <v>25000</v>
      </c>
      <c r="N203" s="89"/>
      <c r="O203" s="89"/>
      <c r="P203" s="48">
        <v>41079</v>
      </c>
      <c r="Q203" s="48">
        <v>41809</v>
      </c>
      <c r="R203" s="49">
        <v>9498</v>
      </c>
    </row>
    <row r="204" spans="1:18" s="1" customFormat="1" ht="38.25" x14ac:dyDescent="0.2">
      <c r="A204" s="45" t="s">
        <v>686</v>
      </c>
      <c r="B204" s="45">
        <v>22546</v>
      </c>
      <c r="C204" s="50" t="s">
        <v>263</v>
      </c>
      <c r="D204" s="50" t="s">
        <v>687</v>
      </c>
      <c r="E204" s="80" t="s">
        <v>585</v>
      </c>
      <c r="F204" s="50" t="s">
        <v>167</v>
      </c>
      <c r="G204" s="50" t="s">
        <v>688</v>
      </c>
      <c r="H204" s="88">
        <f>4840+1900+1200</f>
        <v>7940</v>
      </c>
      <c r="I204" s="88"/>
      <c r="J204" s="89"/>
      <c r="K204" s="89">
        <v>14700</v>
      </c>
      <c r="L204" s="89">
        <f t="shared" si="6"/>
        <v>22640</v>
      </c>
      <c r="M204" s="87">
        <f t="shared" si="7"/>
        <v>22640</v>
      </c>
      <c r="N204" s="89"/>
      <c r="O204" s="89"/>
      <c r="P204" s="48">
        <v>41078</v>
      </c>
      <c r="Q204" s="48">
        <v>42081</v>
      </c>
      <c r="R204" s="49">
        <v>9993</v>
      </c>
    </row>
    <row r="205" spans="1:18" s="1" customFormat="1" ht="51" x14ac:dyDescent="0.2">
      <c r="A205" s="45" t="s">
        <v>689</v>
      </c>
      <c r="B205" s="45">
        <v>22822</v>
      </c>
      <c r="C205" s="50" t="s">
        <v>263</v>
      </c>
      <c r="D205" s="50" t="s">
        <v>690</v>
      </c>
      <c r="E205" s="80" t="s">
        <v>585</v>
      </c>
      <c r="F205" s="50" t="s">
        <v>26</v>
      </c>
      <c r="G205" s="60" t="s">
        <v>691</v>
      </c>
      <c r="H205" s="88">
        <f>4000+875</f>
        <v>4875</v>
      </c>
      <c r="I205" s="88">
        <v>8640</v>
      </c>
      <c r="J205" s="89"/>
      <c r="K205" s="89">
        <f>1500+3600</f>
        <v>5100</v>
      </c>
      <c r="L205" s="89">
        <f t="shared" si="6"/>
        <v>18615</v>
      </c>
      <c r="M205" s="87">
        <f t="shared" si="7"/>
        <v>18615</v>
      </c>
      <c r="N205" s="89"/>
      <c r="O205" s="89"/>
      <c r="P205" s="48">
        <v>41078</v>
      </c>
      <c r="Q205" s="48">
        <v>41808</v>
      </c>
      <c r="R205" s="49">
        <v>9967</v>
      </c>
    </row>
    <row r="206" spans="1:18" s="1" customFormat="1" ht="51" x14ac:dyDescent="0.2">
      <c r="A206" s="45" t="s">
        <v>692</v>
      </c>
      <c r="B206" s="45">
        <v>23000</v>
      </c>
      <c r="C206" s="50" t="s">
        <v>263</v>
      </c>
      <c r="D206" s="50" t="s">
        <v>693</v>
      </c>
      <c r="E206" s="80" t="s">
        <v>585</v>
      </c>
      <c r="F206" s="50" t="s">
        <v>87</v>
      </c>
      <c r="G206" s="60" t="s">
        <v>694</v>
      </c>
      <c r="H206" s="88">
        <f>3250+250</f>
        <v>3500</v>
      </c>
      <c r="I206" s="88"/>
      <c r="J206" s="89"/>
      <c r="K206" s="89">
        <v>11500</v>
      </c>
      <c r="L206" s="89">
        <f t="shared" si="6"/>
        <v>15000</v>
      </c>
      <c r="M206" s="87">
        <f t="shared" si="7"/>
        <v>15000</v>
      </c>
      <c r="N206" s="89"/>
      <c r="O206" s="89"/>
      <c r="P206" s="48">
        <v>41078</v>
      </c>
      <c r="Q206" s="48">
        <v>41808</v>
      </c>
      <c r="R206" s="49">
        <v>9991</v>
      </c>
    </row>
    <row r="207" spans="1:18" s="1" customFormat="1" ht="51" x14ac:dyDescent="0.2">
      <c r="A207" s="45" t="s">
        <v>695</v>
      </c>
      <c r="B207" s="45">
        <v>23054</v>
      </c>
      <c r="C207" s="50" t="s">
        <v>263</v>
      </c>
      <c r="D207" s="50" t="s">
        <v>696</v>
      </c>
      <c r="E207" s="80" t="s">
        <v>585</v>
      </c>
      <c r="F207" s="50" t="s">
        <v>45</v>
      </c>
      <c r="G207" s="60" t="s">
        <v>697</v>
      </c>
      <c r="H207" s="88">
        <f>2000+1500+4248+3700+3500</f>
        <v>14948</v>
      </c>
      <c r="I207" s="88">
        <v>8640</v>
      </c>
      <c r="J207" s="89"/>
      <c r="K207" s="89"/>
      <c r="L207" s="89">
        <f t="shared" si="6"/>
        <v>23588</v>
      </c>
      <c r="M207" s="87">
        <f t="shared" si="7"/>
        <v>23588</v>
      </c>
      <c r="N207" s="89"/>
      <c r="O207" s="89"/>
      <c r="P207" s="48">
        <v>41079</v>
      </c>
      <c r="Q207" s="48">
        <v>42266</v>
      </c>
      <c r="R207" s="49">
        <v>9417</v>
      </c>
    </row>
    <row r="208" spans="1:18" s="1" customFormat="1" ht="38.25" x14ac:dyDescent="0.2">
      <c r="A208" s="45" t="s">
        <v>698</v>
      </c>
      <c r="B208" s="45">
        <v>23096</v>
      </c>
      <c r="C208" s="50" t="s">
        <v>263</v>
      </c>
      <c r="D208" s="50" t="s">
        <v>699</v>
      </c>
      <c r="E208" s="80" t="s">
        <v>585</v>
      </c>
      <c r="F208" s="50" t="s">
        <v>45</v>
      </c>
      <c r="G208" s="60" t="s">
        <v>700</v>
      </c>
      <c r="H208" s="88">
        <f>1280+2390+3200</f>
        <v>6870</v>
      </c>
      <c r="I208" s="88">
        <v>8640</v>
      </c>
      <c r="J208" s="89"/>
      <c r="K208" s="89">
        <v>3100</v>
      </c>
      <c r="L208" s="89">
        <f t="shared" si="6"/>
        <v>18610</v>
      </c>
      <c r="M208" s="87">
        <f t="shared" si="7"/>
        <v>18610</v>
      </c>
      <c r="N208" s="89"/>
      <c r="O208" s="89"/>
      <c r="P208" s="48">
        <v>41079</v>
      </c>
      <c r="Q208" s="48">
        <v>42540</v>
      </c>
      <c r="R208" s="49">
        <v>9423</v>
      </c>
    </row>
    <row r="209" spans="1:18" s="1" customFormat="1" ht="51" x14ac:dyDescent="0.2">
      <c r="A209" s="45" t="s">
        <v>701</v>
      </c>
      <c r="B209" s="45">
        <v>23212</v>
      </c>
      <c r="C209" s="50" t="s">
        <v>263</v>
      </c>
      <c r="D209" s="50" t="s">
        <v>702</v>
      </c>
      <c r="E209" s="80" t="s">
        <v>585</v>
      </c>
      <c r="F209" s="50" t="s">
        <v>167</v>
      </c>
      <c r="G209" s="60" t="s">
        <v>703</v>
      </c>
      <c r="H209" s="88">
        <f>3670+1728</f>
        <v>5398</v>
      </c>
      <c r="I209" s="88">
        <v>8640</v>
      </c>
      <c r="J209" s="89"/>
      <c r="K209" s="89">
        <v>27250</v>
      </c>
      <c r="L209" s="89">
        <f t="shared" si="6"/>
        <v>41288</v>
      </c>
      <c r="M209" s="87">
        <f t="shared" si="7"/>
        <v>41288</v>
      </c>
      <c r="N209" s="89"/>
      <c r="O209" s="89"/>
      <c r="P209" s="48">
        <v>41079</v>
      </c>
      <c r="Q209" s="48">
        <v>41809</v>
      </c>
      <c r="R209" s="49">
        <v>9520</v>
      </c>
    </row>
    <row r="210" spans="1:18" s="1" customFormat="1" ht="51" x14ac:dyDescent="0.2">
      <c r="A210" s="45" t="s">
        <v>704</v>
      </c>
      <c r="B210" s="45">
        <v>23649</v>
      </c>
      <c r="C210" s="50" t="s">
        <v>263</v>
      </c>
      <c r="D210" s="50" t="s">
        <v>705</v>
      </c>
      <c r="E210" s="80" t="s">
        <v>585</v>
      </c>
      <c r="F210" s="50" t="s">
        <v>94</v>
      </c>
      <c r="G210" s="60" t="s">
        <v>706</v>
      </c>
      <c r="H210" s="88">
        <v>15000</v>
      </c>
      <c r="I210" s="88"/>
      <c r="J210" s="89"/>
      <c r="K210" s="89"/>
      <c r="L210" s="89">
        <f t="shared" si="6"/>
        <v>15000</v>
      </c>
      <c r="M210" s="87">
        <f t="shared" si="7"/>
        <v>15000</v>
      </c>
      <c r="N210" s="89"/>
      <c r="O210" s="89"/>
      <c r="P210" s="48">
        <v>41079</v>
      </c>
      <c r="Q210" s="48">
        <v>41809</v>
      </c>
      <c r="R210" s="49">
        <v>9521</v>
      </c>
    </row>
    <row r="211" spans="1:18" s="1" customFormat="1" ht="38.25" x14ac:dyDescent="0.2">
      <c r="A211" s="45" t="s">
        <v>707</v>
      </c>
      <c r="B211" s="45">
        <v>20288</v>
      </c>
      <c r="C211" s="50" t="s">
        <v>263</v>
      </c>
      <c r="D211" s="50" t="s">
        <v>708</v>
      </c>
      <c r="E211" s="80" t="s">
        <v>585</v>
      </c>
      <c r="F211" s="50" t="s">
        <v>87</v>
      </c>
      <c r="G211" s="60" t="s">
        <v>709</v>
      </c>
      <c r="H211" s="88">
        <v>25000</v>
      </c>
      <c r="I211" s="88"/>
      <c r="J211" s="89"/>
      <c r="K211" s="89"/>
      <c r="L211" s="89">
        <f t="shared" si="6"/>
        <v>25000</v>
      </c>
      <c r="M211" s="87">
        <f t="shared" si="7"/>
        <v>25000</v>
      </c>
      <c r="N211" s="89"/>
      <c r="O211" s="89"/>
      <c r="P211" s="48">
        <v>41079</v>
      </c>
      <c r="Q211" s="48">
        <v>41809</v>
      </c>
      <c r="R211" s="49">
        <v>9579</v>
      </c>
    </row>
    <row r="212" spans="1:18" s="1" customFormat="1" ht="38.25" x14ac:dyDescent="0.2">
      <c r="A212" s="45" t="s">
        <v>710</v>
      </c>
      <c r="B212" s="45">
        <v>21733</v>
      </c>
      <c r="C212" s="50" t="s">
        <v>263</v>
      </c>
      <c r="D212" s="50" t="s">
        <v>711</v>
      </c>
      <c r="E212" s="80" t="s">
        <v>585</v>
      </c>
      <c r="F212" s="50" t="s">
        <v>167</v>
      </c>
      <c r="G212" s="60" t="s">
        <v>712</v>
      </c>
      <c r="H212" s="88">
        <f>5150</f>
        <v>5150</v>
      </c>
      <c r="I212" s="88">
        <v>8640</v>
      </c>
      <c r="J212" s="89"/>
      <c r="K212" s="89">
        <v>5450</v>
      </c>
      <c r="L212" s="89">
        <f t="shared" si="6"/>
        <v>19240</v>
      </c>
      <c r="M212" s="87">
        <f t="shared" si="7"/>
        <v>19240</v>
      </c>
      <c r="N212" s="89"/>
      <c r="O212" s="89"/>
      <c r="P212" s="48">
        <v>41079</v>
      </c>
      <c r="Q212" s="48">
        <v>42082</v>
      </c>
      <c r="R212" s="49">
        <v>9547</v>
      </c>
    </row>
    <row r="213" spans="1:18" s="1" customFormat="1" ht="51" x14ac:dyDescent="0.2">
      <c r="A213" s="45" t="s">
        <v>713</v>
      </c>
      <c r="B213" s="45">
        <v>21759</v>
      </c>
      <c r="C213" s="50" t="s">
        <v>263</v>
      </c>
      <c r="D213" s="50" t="s">
        <v>714</v>
      </c>
      <c r="E213" s="80" t="s">
        <v>585</v>
      </c>
      <c r="F213" s="50" t="s">
        <v>87</v>
      </c>
      <c r="G213" s="60" t="s">
        <v>715</v>
      </c>
      <c r="H213" s="88">
        <v>14790</v>
      </c>
      <c r="I213" s="88"/>
      <c r="J213" s="89"/>
      <c r="K213" s="89"/>
      <c r="L213" s="89">
        <f t="shared" si="6"/>
        <v>14790</v>
      </c>
      <c r="M213" s="87">
        <f t="shared" si="7"/>
        <v>14790</v>
      </c>
      <c r="N213" s="89"/>
      <c r="O213" s="89"/>
      <c r="P213" s="48">
        <v>41079</v>
      </c>
      <c r="Q213" s="48">
        <v>41992</v>
      </c>
      <c r="R213" s="49">
        <v>9582</v>
      </c>
    </row>
    <row r="214" spans="1:18" s="1" customFormat="1" ht="38.25" x14ac:dyDescent="0.2">
      <c r="A214" s="45" t="s">
        <v>716</v>
      </c>
      <c r="B214" s="45">
        <v>23252</v>
      </c>
      <c r="C214" s="50" t="s">
        <v>243</v>
      </c>
      <c r="D214" s="50" t="s">
        <v>717</v>
      </c>
      <c r="E214" s="80" t="s">
        <v>585</v>
      </c>
      <c r="F214" s="50" t="s">
        <v>167</v>
      </c>
      <c r="G214" s="60" t="s">
        <v>718</v>
      </c>
      <c r="H214" s="88"/>
      <c r="I214" s="88"/>
      <c r="J214" s="89"/>
      <c r="K214" s="89">
        <v>17700</v>
      </c>
      <c r="L214" s="89">
        <f t="shared" si="6"/>
        <v>17700</v>
      </c>
      <c r="M214" s="87">
        <f t="shared" si="7"/>
        <v>17700</v>
      </c>
      <c r="N214" s="89"/>
      <c r="O214" s="89"/>
      <c r="P214" s="48">
        <v>41078</v>
      </c>
      <c r="Q214" s="48">
        <v>41808</v>
      </c>
      <c r="R214" s="49">
        <v>9989</v>
      </c>
    </row>
    <row r="215" spans="1:18" s="1" customFormat="1" ht="38.25" x14ac:dyDescent="0.2">
      <c r="A215" s="45" t="s">
        <v>719</v>
      </c>
      <c r="B215" s="45">
        <v>23926</v>
      </c>
      <c r="C215" s="50" t="s">
        <v>243</v>
      </c>
      <c r="D215" s="50" t="s">
        <v>720</v>
      </c>
      <c r="E215" s="80" t="s">
        <v>585</v>
      </c>
      <c r="F215" s="50" t="s">
        <v>121</v>
      </c>
      <c r="G215" s="60" t="s">
        <v>721</v>
      </c>
      <c r="H215" s="88">
        <f>4560</f>
        <v>4560</v>
      </c>
      <c r="I215" s="88">
        <v>8280</v>
      </c>
      <c r="J215" s="89"/>
      <c r="K215" s="89">
        <f>3600+800</f>
        <v>4400</v>
      </c>
      <c r="L215" s="89">
        <f t="shared" si="6"/>
        <v>17240</v>
      </c>
      <c r="M215" s="87">
        <f t="shared" si="7"/>
        <v>17240</v>
      </c>
      <c r="N215" s="89"/>
      <c r="O215" s="89"/>
      <c r="P215" s="48">
        <v>41078</v>
      </c>
      <c r="Q215" s="48">
        <v>42053</v>
      </c>
      <c r="R215" s="49">
        <v>9987</v>
      </c>
    </row>
    <row r="216" spans="1:18" s="1" customFormat="1" ht="38.25" x14ac:dyDescent="0.2">
      <c r="A216" s="45" t="s">
        <v>722</v>
      </c>
      <c r="B216" s="45">
        <v>22724</v>
      </c>
      <c r="C216" s="50" t="s">
        <v>107</v>
      </c>
      <c r="D216" s="50" t="s">
        <v>723</v>
      </c>
      <c r="E216" s="80" t="s">
        <v>585</v>
      </c>
      <c r="F216" s="50" t="s">
        <v>71</v>
      </c>
      <c r="G216" s="60" t="s">
        <v>724</v>
      </c>
      <c r="H216" s="88">
        <v>5400</v>
      </c>
      <c r="I216" s="88"/>
      <c r="J216" s="89"/>
      <c r="K216" s="89">
        <f>44600-1200</f>
        <v>43400</v>
      </c>
      <c r="L216" s="89">
        <f t="shared" si="6"/>
        <v>48800</v>
      </c>
      <c r="M216" s="87">
        <f t="shared" si="7"/>
        <v>48800</v>
      </c>
      <c r="N216" s="89"/>
      <c r="O216" s="89"/>
      <c r="P216" s="48">
        <v>41078</v>
      </c>
      <c r="Q216" s="48">
        <v>41991</v>
      </c>
      <c r="R216" s="61">
        <v>10047</v>
      </c>
    </row>
    <row r="217" spans="1:18" s="1" customFormat="1" ht="51" x14ac:dyDescent="0.2">
      <c r="A217" s="45" t="s">
        <v>725</v>
      </c>
      <c r="B217" s="45">
        <v>22557</v>
      </c>
      <c r="C217" s="50" t="s">
        <v>107</v>
      </c>
      <c r="D217" s="50" t="s">
        <v>726</v>
      </c>
      <c r="E217" s="80" t="s">
        <v>585</v>
      </c>
      <c r="F217" s="50" t="s">
        <v>121</v>
      </c>
      <c r="G217" s="60" t="s">
        <v>727</v>
      </c>
      <c r="H217" s="88">
        <f>3600+360+800</f>
        <v>4760</v>
      </c>
      <c r="I217" s="88"/>
      <c r="J217" s="89"/>
      <c r="K217" s="89">
        <v>7080</v>
      </c>
      <c r="L217" s="89">
        <f t="shared" si="6"/>
        <v>11840</v>
      </c>
      <c r="M217" s="87">
        <f t="shared" si="7"/>
        <v>11840</v>
      </c>
      <c r="N217" s="89"/>
      <c r="O217" s="89"/>
      <c r="P217" s="48">
        <v>41078</v>
      </c>
      <c r="Q217" s="48">
        <v>41808</v>
      </c>
      <c r="R217" s="49">
        <v>9986</v>
      </c>
    </row>
    <row r="218" spans="1:18" s="1" customFormat="1" ht="38.25" x14ac:dyDescent="0.2">
      <c r="A218" s="45" t="s">
        <v>728</v>
      </c>
      <c r="B218" s="45">
        <v>10223</v>
      </c>
      <c r="C218" s="50" t="s">
        <v>107</v>
      </c>
      <c r="D218" s="50" t="s">
        <v>729</v>
      </c>
      <c r="E218" s="80" t="s">
        <v>585</v>
      </c>
      <c r="F218" s="50" t="s">
        <v>121</v>
      </c>
      <c r="G218" s="60" t="s">
        <v>730</v>
      </c>
      <c r="H218" s="88">
        <f>3200+2000+5000</f>
        <v>10200</v>
      </c>
      <c r="I218" s="88">
        <v>8640</v>
      </c>
      <c r="J218" s="89"/>
      <c r="K218" s="89">
        <f>1800+1800+800+300</f>
        <v>4700</v>
      </c>
      <c r="L218" s="89">
        <f t="shared" si="6"/>
        <v>23540</v>
      </c>
      <c r="M218" s="87">
        <f t="shared" si="7"/>
        <v>23540</v>
      </c>
      <c r="N218" s="89"/>
      <c r="O218" s="89"/>
      <c r="P218" s="48">
        <v>41078</v>
      </c>
      <c r="Q218" s="48">
        <v>41991</v>
      </c>
      <c r="R218" s="61">
        <v>10058</v>
      </c>
    </row>
    <row r="219" spans="1:18" s="1" customFormat="1" ht="38.25" x14ac:dyDescent="0.2">
      <c r="A219" s="45" t="s">
        <v>731</v>
      </c>
      <c r="B219" s="45">
        <v>15622</v>
      </c>
      <c r="C219" s="50" t="s">
        <v>107</v>
      </c>
      <c r="D219" s="50" t="s">
        <v>732</v>
      </c>
      <c r="E219" s="80" t="s">
        <v>585</v>
      </c>
      <c r="F219" s="50" t="s">
        <v>167</v>
      </c>
      <c r="G219" s="60" t="s">
        <v>733</v>
      </c>
      <c r="H219" s="88"/>
      <c r="I219" s="88">
        <v>8640</v>
      </c>
      <c r="J219" s="89"/>
      <c r="K219" s="89">
        <v>16320</v>
      </c>
      <c r="L219" s="89">
        <f t="shared" si="6"/>
        <v>24960</v>
      </c>
      <c r="M219" s="87">
        <f t="shared" si="7"/>
        <v>24960</v>
      </c>
      <c r="N219" s="89"/>
      <c r="O219" s="89"/>
      <c r="P219" s="48">
        <v>41078</v>
      </c>
      <c r="Q219" s="48">
        <v>41808</v>
      </c>
      <c r="R219" s="49">
        <v>9984</v>
      </c>
    </row>
    <row r="220" spans="1:18" s="1" customFormat="1" ht="51" x14ac:dyDescent="0.2">
      <c r="A220" s="45" t="s">
        <v>734</v>
      </c>
      <c r="B220" s="45">
        <v>15924</v>
      </c>
      <c r="C220" s="50" t="s">
        <v>107</v>
      </c>
      <c r="D220" s="50" t="s">
        <v>735</v>
      </c>
      <c r="E220" s="80" t="s">
        <v>585</v>
      </c>
      <c r="F220" s="50" t="s">
        <v>167</v>
      </c>
      <c r="G220" s="60" t="s">
        <v>736</v>
      </c>
      <c r="H220" s="88">
        <v>3000</v>
      </c>
      <c r="I220" s="88"/>
      <c r="J220" s="89"/>
      <c r="K220" s="89">
        <v>10730</v>
      </c>
      <c r="L220" s="89">
        <f t="shared" si="6"/>
        <v>13730</v>
      </c>
      <c r="M220" s="87">
        <f t="shared" si="7"/>
        <v>13730</v>
      </c>
      <c r="N220" s="89"/>
      <c r="O220" s="89"/>
      <c r="P220" s="48">
        <v>41078</v>
      </c>
      <c r="Q220" s="48">
        <v>41808</v>
      </c>
      <c r="R220" s="49">
        <v>9980</v>
      </c>
    </row>
    <row r="221" spans="1:18" s="1" customFormat="1" ht="25.5" x14ac:dyDescent="0.2">
      <c r="A221" s="45" t="s">
        <v>737</v>
      </c>
      <c r="B221" s="45">
        <v>22493</v>
      </c>
      <c r="C221" s="50" t="s">
        <v>107</v>
      </c>
      <c r="D221" s="50" t="s">
        <v>738</v>
      </c>
      <c r="E221" s="80" t="s">
        <v>585</v>
      </c>
      <c r="F221" s="50" t="s">
        <v>121</v>
      </c>
      <c r="G221" s="60" t="s">
        <v>739</v>
      </c>
      <c r="H221" s="88">
        <f>4800+5025</f>
        <v>9825</v>
      </c>
      <c r="I221" s="88"/>
      <c r="J221" s="89"/>
      <c r="K221" s="89">
        <v>8000</v>
      </c>
      <c r="L221" s="89">
        <f t="shared" si="6"/>
        <v>17825</v>
      </c>
      <c r="M221" s="87">
        <f t="shared" si="7"/>
        <v>17825</v>
      </c>
      <c r="N221" s="89"/>
      <c r="O221" s="89"/>
      <c r="P221" s="48">
        <v>41078</v>
      </c>
      <c r="Q221" s="48">
        <v>42081</v>
      </c>
      <c r="R221" s="49">
        <v>9975</v>
      </c>
    </row>
    <row r="222" spans="1:18" s="1" customFormat="1" ht="38.25" x14ac:dyDescent="0.2">
      <c r="A222" s="45" t="s">
        <v>740</v>
      </c>
      <c r="B222" s="45">
        <v>22029</v>
      </c>
      <c r="C222" s="50" t="s">
        <v>48</v>
      </c>
      <c r="D222" s="50" t="s">
        <v>741</v>
      </c>
      <c r="E222" s="80" t="s">
        <v>585</v>
      </c>
      <c r="F222" s="50" t="s">
        <v>63</v>
      </c>
      <c r="G222" s="60" t="s">
        <v>742</v>
      </c>
      <c r="H222" s="88"/>
      <c r="I222" s="88">
        <v>8640</v>
      </c>
      <c r="J222" s="89"/>
      <c r="K222" s="89">
        <v>1460</v>
      </c>
      <c r="L222" s="89">
        <f t="shared" si="6"/>
        <v>10100</v>
      </c>
      <c r="M222" s="87">
        <f t="shared" si="7"/>
        <v>10100</v>
      </c>
      <c r="N222" s="89"/>
      <c r="O222" s="89"/>
      <c r="P222" s="48">
        <v>41078</v>
      </c>
      <c r="Q222" s="48">
        <v>41808</v>
      </c>
      <c r="R222" s="49">
        <v>9974</v>
      </c>
    </row>
    <row r="223" spans="1:18" s="1" customFormat="1" ht="38.25" x14ac:dyDescent="0.2">
      <c r="A223" s="45" t="s">
        <v>743</v>
      </c>
      <c r="B223" s="45">
        <v>22420</v>
      </c>
      <c r="C223" s="50" t="s">
        <v>48</v>
      </c>
      <c r="D223" s="50" t="s">
        <v>744</v>
      </c>
      <c r="E223" s="80" t="s">
        <v>585</v>
      </c>
      <c r="F223" s="50" t="s">
        <v>87</v>
      </c>
      <c r="G223" s="60" t="s">
        <v>745</v>
      </c>
      <c r="H223" s="88">
        <f>600+3600+800+5200+3100</f>
        <v>13300</v>
      </c>
      <c r="I223" s="88"/>
      <c r="J223" s="89"/>
      <c r="K223" s="89">
        <f>300+700+5001+3600+499</f>
        <v>10100</v>
      </c>
      <c r="L223" s="89">
        <f t="shared" si="6"/>
        <v>23400</v>
      </c>
      <c r="M223" s="87">
        <f t="shared" si="7"/>
        <v>23400</v>
      </c>
      <c r="N223" s="89"/>
      <c r="O223" s="89"/>
      <c r="P223" s="48">
        <v>41078</v>
      </c>
      <c r="Q223" s="48">
        <v>41808</v>
      </c>
      <c r="R223" s="49">
        <v>9969</v>
      </c>
    </row>
    <row r="224" spans="1:18" s="1" customFormat="1" ht="38.25" x14ac:dyDescent="0.2">
      <c r="A224" s="45" t="s">
        <v>746</v>
      </c>
      <c r="B224" s="45">
        <v>24130</v>
      </c>
      <c r="C224" s="50" t="s">
        <v>212</v>
      </c>
      <c r="D224" s="50" t="s">
        <v>747</v>
      </c>
      <c r="E224" s="80" t="s">
        <v>129</v>
      </c>
      <c r="F224" s="50" t="s">
        <v>71</v>
      </c>
      <c r="G224" s="50" t="s">
        <v>748</v>
      </c>
      <c r="H224" s="88"/>
      <c r="I224" s="88"/>
      <c r="J224" s="89"/>
      <c r="K224" s="89">
        <v>200000</v>
      </c>
      <c r="L224" s="89">
        <f t="shared" si="6"/>
        <v>200000</v>
      </c>
      <c r="M224" s="87">
        <f t="shared" si="7"/>
        <v>200000</v>
      </c>
      <c r="N224" s="89"/>
      <c r="O224" s="89"/>
      <c r="P224" s="48">
        <v>41061</v>
      </c>
      <c r="Q224" s="48">
        <v>41426</v>
      </c>
      <c r="R224" s="49">
        <v>9071</v>
      </c>
    </row>
    <row r="225" spans="1:18" s="1" customFormat="1" ht="25.5" x14ac:dyDescent="0.2">
      <c r="A225" s="45" t="s">
        <v>749</v>
      </c>
      <c r="B225" s="45">
        <v>24144</v>
      </c>
      <c r="C225" s="50" t="s">
        <v>369</v>
      </c>
      <c r="D225" s="50" t="s">
        <v>750</v>
      </c>
      <c r="E225" s="80" t="s">
        <v>129</v>
      </c>
      <c r="F225" s="50" t="s">
        <v>63</v>
      </c>
      <c r="G225" s="50" t="s">
        <v>751</v>
      </c>
      <c r="H225" s="88"/>
      <c r="I225" s="88"/>
      <c r="J225" s="89"/>
      <c r="K225" s="89">
        <v>149460</v>
      </c>
      <c r="L225" s="89">
        <f t="shared" si="6"/>
        <v>149460</v>
      </c>
      <c r="M225" s="87">
        <f t="shared" si="7"/>
        <v>149460</v>
      </c>
      <c r="N225" s="89"/>
      <c r="O225" s="89"/>
      <c r="P225" s="48">
        <v>41061</v>
      </c>
      <c r="Q225" s="48">
        <v>41426</v>
      </c>
      <c r="R225" s="49">
        <v>10452</v>
      </c>
    </row>
    <row r="226" spans="1:18" s="1" customFormat="1" ht="38.25" x14ac:dyDescent="0.2">
      <c r="A226" s="45" t="s">
        <v>752</v>
      </c>
      <c r="B226" s="45">
        <v>24158</v>
      </c>
      <c r="C226" s="50" t="s">
        <v>43</v>
      </c>
      <c r="D226" s="50" t="s">
        <v>753</v>
      </c>
      <c r="E226" s="80" t="s">
        <v>129</v>
      </c>
      <c r="F226" s="50" t="s">
        <v>63</v>
      </c>
      <c r="G226" s="50" t="s">
        <v>754</v>
      </c>
      <c r="H226" s="88"/>
      <c r="I226" s="88"/>
      <c r="J226" s="89"/>
      <c r="K226" s="89">
        <v>200000</v>
      </c>
      <c r="L226" s="89">
        <f t="shared" si="6"/>
        <v>200000</v>
      </c>
      <c r="M226" s="87">
        <f t="shared" si="7"/>
        <v>200000</v>
      </c>
      <c r="N226" s="89"/>
      <c r="O226" s="89"/>
      <c r="P226" s="48">
        <v>41071</v>
      </c>
      <c r="Q226" s="48">
        <v>41436</v>
      </c>
      <c r="R226" s="49">
        <v>9206</v>
      </c>
    </row>
    <row r="227" spans="1:18" s="1" customFormat="1" ht="51" x14ac:dyDescent="0.2">
      <c r="A227" s="45" t="s">
        <v>755</v>
      </c>
      <c r="B227" s="57">
        <v>10156</v>
      </c>
      <c r="C227" s="50" t="s">
        <v>19</v>
      </c>
      <c r="D227" s="60" t="s">
        <v>756</v>
      </c>
      <c r="E227" s="80" t="s">
        <v>585</v>
      </c>
      <c r="F227" s="50" t="s">
        <v>94</v>
      </c>
      <c r="G227" s="60" t="s">
        <v>757</v>
      </c>
      <c r="H227" s="88">
        <v>27261.200000000001</v>
      </c>
      <c r="I227" s="88"/>
      <c r="J227" s="89"/>
      <c r="K227" s="89"/>
      <c r="L227" s="89">
        <f t="shared" si="6"/>
        <v>27261.200000000001</v>
      </c>
      <c r="M227" s="87">
        <f t="shared" si="7"/>
        <v>27261.200000000001</v>
      </c>
      <c r="N227" s="89"/>
      <c r="O227" s="89"/>
      <c r="P227" s="48">
        <v>41092</v>
      </c>
      <c r="Q227" s="48">
        <v>42918</v>
      </c>
      <c r="R227" s="61">
        <v>10175</v>
      </c>
    </row>
    <row r="228" spans="1:18" s="1" customFormat="1" ht="89.25" x14ac:dyDescent="0.2">
      <c r="A228" s="45" t="s">
        <v>758</v>
      </c>
      <c r="B228" s="57">
        <v>14830</v>
      </c>
      <c r="C228" s="50" t="s">
        <v>19</v>
      </c>
      <c r="D228" s="60" t="s">
        <v>759</v>
      </c>
      <c r="E228" s="80" t="s">
        <v>585</v>
      </c>
      <c r="F228" s="50" t="s">
        <v>87</v>
      </c>
      <c r="G228" s="60" t="s">
        <v>760</v>
      </c>
      <c r="H228" s="88">
        <v>7070</v>
      </c>
      <c r="I228" s="88"/>
      <c r="J228" s="89"/>
      <c r="K228" s="89">
        <v>35500</v>
      </c>
      <c r="L228" s="89">
        <f t="shared" si="6"/>
        <v>42570</v>
      </c>
      <c r="M228" s="87">
        <f t="shared" si="7"/>
        <v>42570</v>
      </c>
      <c r="N228" s="89"/>
      <c r="O228" s="89"/>
      <c r="P228" s="48">
        <v>41092</v>
      </c>
      <c r="Q228" s="48" t="s">
        <v>761</v>
      </c>
      <c r="R228" s="61">
        <v>10176</v>
      </c>
    </row>
    <row r="229" spans="1:18" s="1" customFormat="1" ht="38.25" x14ac:dyDescent="0.2">
      <c r="A229" s="45" t="s">
        <v>762</v>
      </c>
      <c r="B229" s="57">
        <v>16381</v>
      </c>
      <c r="C229" s="50" t="s">
        <v>19</v>
      </c>
      <c r="D229" s="60" t="s">
        <v>763</v>
      </c>
      <c r="E229" s="80" t="s">
        <v>585</v>
      </c>
      <c r="F229" s="50" t="s">
        <v>240</v>
      </c>
      <c r="G229" s="60" t="s">
        <v>764</v>
      </c>
      <c r="H229" s="88">
        <v>510</v>
      </c>
      <c r="I229" s="88">
        <v>8640</v>
      </c>
      <c r="J229" s="89"/>
      <c r="K229" s="89">
        <v>7210</v>
      </c>
      <c r="L229" s="89">
        <f t="shared" si="6"/>
        <v>16360</v>
      </c>
      <c r="M229" s="87">
        <f t="shared" si="7"/>
        <v>16360</v>
      </c>
      <c r="N229" s="89"/>
      <c r="O229" s="89"/>
      <c r="P229" s="48">
        <v>41062</v>
      </c>
      <c r="Q229" s="48">
        <v>41792</v>
      </c>
      <c r="R229" s="49" t="s">
        <v>762</v>
      </c>
    </row>
    <row r="230" spans="1:18" s="1" customFormat="1" ht="51" x14ac:dyDescent="0.2">
      <c r="A230" s="45" t="s">
        <v>765</v>
      </c>
      <c r="B230" s="57">
        <v>17370</v>
      </c>
      <c r="C230" s="50" t="s">
        <v>19</v>
      </c>
      <c r="D230" s="60" t="s">
        <v>766</v>
      </c>
      <c r="E230" s="80" t="s">
        <v>585</v>
      </c>
      <c r="F230" s="50" t="s">
        <v>94</v>
      </c>
      <c r="G230" s="60" t="s">
        <v>767</v>
      </c>
      <c r="H230" s="88">
        <v>15000</v>
      </c>
      <c r="I230" s="88"/>
      <c r="J230" s="89"/>
      <c r="K230" s="89">
        <f>12000+2500+5000+1600+7000+1800</f>
        <v>29900</v>
      </c>
      <c r="L230" s="89">
        <f t="shared" si="6"/>
        <v>44900</v>
      </c>
      <c r="M230" s="87">
        <f t="shared" si="7"/>
        <v>44900</v>
      </c>
      <c r="N230" s="89"/>
      <c r="O230" s="89"/>
      <c r="P230" s="48">
        <v>41092</v>
      </c>
      <c r="Q230" s="48">
        <v>41822</v>
      </c>
      <c r="R230" s="61">
        <v>10170</v>
      </c>
    </row>
    <row r="231" spans="1:18" s="1" customFormat="1" ht="63.75" x14ac:dyDescent="0.2">
      <c r="A231" s="45" t="s">
        <v>768</v>
      </c>
      <c r="B231" s="57">
        <v>17774</v>
      </c>
      <c r="C231" s="50" t="s">
        <v>19</v>
      </c>
      <c r="D231" s="60" t="s">
        <v>769</v>
      </c>
      <c r="E231" s="80" t="s">
        <v>585</v>
      </c>
      <c r="F231" s="50" t="s">
        <v>109</v>
      </c>
      <c r="G231" s="60" t="s">
        <v>770</v>
      </c>
      <c r="H231" s="88">
        <v>3300</v>
      </c>
      <c r="I231" s="88"/>
      <c r="J231" s="89"/>
      <c r="K231" s="89">
        <v>21700</v>
      </c>
      <c r="L231" s="89">
        <f t="shared" si="6"/>
        <v>25000</v>
      </c>
      <c r="M231" s="87">
        <f t="shared" si="7"/>
        <v>25000</v>
      </c>
      <c r="N231" s="89"/>
      <c r="O231" s="89"/>
      <c r="P231" s="48">
        <v>41092</v>
      </c>
      <c r="Q231" s="48">
        <v>41822</v>
      </c>
      <c r="R231" s="61">
        <v>10168</v>
      </c>
    </row>
    <row r="232" spans="1:18" s="1" customFormat="1" ht="38.25" x14ac:dyDescent="0.2">
      <c r="A232" s="45" t="s">
        <v>771</v>
      </c>
      <c r="B232" s="57">
        <v>18825</v>
      </c>
      <c r="C232" s="50" t="s">
        <v>19</v>
      </c>
      <c r="D232" s="60" t="s">
        <v>772</v>
      </c>
      <c r="E232" s="80" t="s">
        <v>585</v>
      </c>
      <c r="F232" s="50" t="s">
        <v>45</v>
      </c>
      <c r="G232" s="60" t="s">
        <v>773</v>
      </c>
      <c r="H232" s="88">
        <f>960+800</f>
        <v>1760</v>
      </c>
      <c r="I232" s="88">
        <v>8640</v>
      </c>
      <c r="J232" s="89"/>
      <c r="K232" s="89">
        <f>2800+1800</f>
        <v>4600</v>
      </c>
      <c r="L232" s="89">
        <f t="shared" si="6"/>
        <v>15000</v>
      </c>
      <c r="M232" s="87">
        <f t="shared" si="7"/>
        <v>15000</v>
      </c>
      <c r="N232" s="89"/>
      <c r="O232" s="89"/>
      <c r="P232" s="48" t="s">
        <v>774</v>
      </c>
      <c r="Q232" s="48">
        <v>41817</v>
      </c>
      <c r="R232" s="49">
        <v>10337</v>
      </c>
    </row>
    <row r="233" spans="1:18" s="1" customFormat="1" ht="38.25" x14ac:dyDescent="0.2">
      <c r="A233" s="45" t="s">
        <v>775</v>
      </c>
      <c r="B233" s="57">
        <v>19008</v>
      </c>
      <c r="C233" s="50" t="s">
        <v>19</v>
      </c>
      <c r="D233" s="60" t="s">
        <v>776</v>
      </c>
      <c r="E233" s="80" t="s">
        <v>585</v>
      </c>
      <c r="F233" s="50" t="s">
        <v>167</v>
      </c>
      <c r="G233" s="60" t="s">
        <v>777</v>
      </c>
      <c r="H233" s="88">
        <v>12050</v>
      </c>
      <c r="I233" s="88"/>
      <c r="J233" s="89"/>
      <c r="K233" s="89">
        <v>37950</v>
      </c>
      <c r="L233" s="89">
        <f t="shared" si="6"/>
        <v>50000</v>
      </c>
      <c r="M233" s="87">
        <f t="shared" si="7"/>
        <v>50000</v>
      </c>
      <c r="N233" s="89"/>
      <c r="O233" s="89"/>
      <c r="P233" s="48">
        <v>41092</v>
      </c>
      <c r="Q233" s="48">
        <v>42888</v>
      </c>
      <c r="R233" s="61">
        <v>10152</v>
      </c>
    </row>
    <row r="234" spans="1:18" s="1" customFormat="1" ht="25.5" x14ac:dyDescent="0.2">
      <c r="A234" s="45" t="s">
        <v>778</v>
      </c>
      <c r="B234" s="57">
        <v>20393</v>
      </c>
      <c r="C234" s="50" t="s">
        <v>19</v>
      </c>
      <c r="D234" s="60" t="s">
        <v>779</v>
      </c>
      <c r="E234" s="80" t="s">
        <v>585</v>
      </c>
      <c r="F234" s="50" t="s">
        <v>240</v>
      </c>
      <c r="G234" s="60" t="s">
        <v>780</v>
      </c>
      <c r="H234" s="88">
        <f>1280+960+1280+1500+2000+3000+800+1360+900</f>
        <v>13080</v>
      </c>
      <c r="I234" s="88">
        <f>4320*2</f>
        <v>8640</v>
      </c>
      <c r="J234" s="89"/>
      <c r="K234" s="89"/>
      <c r="L234" s="89">
        <f t="shared" si="6"/>
        <v>21720</v>
      </c>
      <c r="M234" s="87">
        <f t="shared" si="7"/>
        <v>21720</v>
      </c>
      <c r="N234" s="89"/>
      <c r="O234" s="89"/>
      <c r="P234" s="48">
        <v>41087</v>
      </c>
      <c r="Q234" s="48">
        <v>42124</v>
      </c>
      <c r="R234" s="49">
        <v>10313</v>
      </c>
    </row>
    <row r="235" spans="1:18" s="1" customFormat="1" ht="51" x14ac:dyDescent="0.2">
      <c r="A235" s="45" t="s">
        <v>781</v>
      </c>
      <c r="B235" s="57">
        <v>20457</v>
      </c>
      <c r="C235" s="50" t="s">
        <v>19</v>
      </c>
      <c r="D235" s="60" t="s">
        <v>782</v>
      </c>
      <c r="E235" s="80" t="s">
        <v>585</v>
      </c>
      <c r="F235" s="50" t="s">
        <v>94</v>
      </c>
      <c r="G235" s="60" t="s">
        <v>783</v>
      </c>
      <c r="H235" s="88">
        <v>8185</v>
      </c>
      <c r="I235" s="88">
        <v>4320</v>
      </c>
      <c r="J235" s="89"/>
      <c r="K235" s="89">
        <v>11400</v>
      </c>
      <c r="L235" s="89">
        <f t="shared" si="6"/>
        <v>23905</v>
      </c>
      <c r="M235" s="87">
        <f t="shared" si="7"/>
        <v>23905</v>
      </c>
      <c r="N235" s="89"/>
      <c r="O235" s="89"/>
      <c r="P235" s="48">
        <v>41092</v>
      </c>
      <c r="Q235" s="48">
        <v>42249</v>
      </c>
      <c r="R235" s="61">
        <v>10149</v>
      </c>
    </row>
    <row r="236" spans="1:18" s="1" customFormat="1" ht="25.5" x14ac:dyDescent="0.2">
      <c r="A236" s="45" t="s">
        <v>784</v>
      </c>
      <c r="B236" s="57">
        <v>21208</v>
      </c>
      <c r="C236" s="50" t="s">
        <v>19</v>
      </c>
      <c r="D236" s="60" t="s">
        <v>785</v>
      </c>
      <c r="E236" s="80" t="s">
        <v>585</v>
      </c>
      <c r="F236" s="50" t="s">
        <v>26</v>
      </c>
      <c r="G236" s="60" t="s">
        <v>786</v>
      </c>
      <c r="H236" s="88">
        <f>2880+640+30+1500+840+2000+800+160</f>
        <v>8850</v>
      </c>
      <c r="I236" s="88">
        <v>8640</v>
      </c>
      <c r="J236" s="89"/>
      <c r="K236" s="89">
        <f>6300-160</f>
        <v>6140</v>
      </c>
      <c r="L236" s="89">
        <f t="shared" si="6"/>
        <v>23630</v>
      </c>
      <c r="M236" s="87">
        <f t="shared" si="7"/>
        <v>23630</v>
      </c>
      <c r="N236" s="89"/>
      <c r="O236" s="89"/>
      <c r="P236" s="48">
        <v>41092</v>
      </c>
      <c r="Q236" s="48">
        <v>42737</v>
      </c>
      <c r="R236" s="61">
        <v>10145</v>
      </c>
    </row>
    <row r="237" spans="1:18" s="1" customFormat="1" ht="25.5" x14ac:dyDescent="0.2">
      <c r="A237" s="45" t="s">
        <v>787</v>
      </c>
      <c r="B237" s="57">
        <v>21282</v>
      </c>
      <c r="C237" s="50" t="s">
        <v>19</v>
      </c>
      <c r="D237" s="60" t="s">
        <v>788</v>
      </c>
      <c r="E237" s="80" t="s">
        <v>585</v>
      </c>
      <c r="F237" s="50" t="s">
        <v>63</v>
      </c>
      <c r="G237" s="60" t="s">
        <v>789</v>
      </c>
      <c r="H237" s="88">
        <f>1800+1923.3+1000+3000</f>
        <v>7723.3</v>
      </c>
      <c r="I237" s="88">
        <v>7200</v>
      </c>
      <c r="J237" s="89"/>
      <c r="K237" s="89"/>
      <c r="L237" s="89">
        <f t="shared" si="6"/>
        <v>14923.3</v>
      </c>
      <c r="M237" s="87">
        <f t="shared" si="7"/>
        <v>14923.3</v>
      </c>
      <c r="N237" s="89"/>
      <c r="O237" s="89"/>
      <c r="P237" s="48">
        <v>41092</v>
      </c>
      <c r="Q237" s="48">
        <v>42643</v>
      </c>
      <c r="R237" s="61">
        <v>10137</v>
      </c>
    </row>
    <row r="238" spans="1:18" s="1" customFormat="1" ht="25.5" x14ac:dyDescent="0.2">
      <c r="A238" s="45" t="s">
        <v>790</v>
      </c>
      <c r="B238" s="57">
        <v>21320</v>
      </c>
      <c r="C238" s="50" t="s">
        <v>19</v>
      </c>
      <c r="D238" s="60" t="s">
        <v>791</v>
      </c>
      <c r="E238" s="80" t="s">
        <v>585</v>
      </c>
      <c r="F238" s="81" t="s">
        <v>87</v>
      </c>
      <c r="G238" s="60" t="s">
        <v>792</v>
      </c>
      <c r="H238" s="88">
        <f>4200+2700+6800+1200+2000+3000</f>
        <v>19900</v>
      </c>
      <c r="I238" s="88">
        <v>8640</v>
      </c>
      <c r="J238" s="89"/>
      <c r="K238" s="89">
        <v>3250</v>
      </c>
      <c r="L238" s="89">
        <f t="shared" si="6"/>
        <v>31790</v>
      </c>
      <c r="M238" s="87">
        <f t="shared" si="7"/>
        <v>31790</v>
      </c>
      <c r="N238" s="89"/>
      <c r="O238" s="89"/>
      <c r="P238" s="48">
        <v>41092</v>
      </c>
      <c r="Q238" s="48">
        <v>42093</v>
      </c>
      <c r="R238" s="61">
        <v>10132</v>
      </c>
    </row>
    <row r="239" spans="1:18" s="1" customFormat="1" ht="38.25" x14ac:dyDescent="0.2">
      <c r="A239" s="45" t="s">
        <v>793</v>
      </c>
      <c r="B239" s="45">
        <v>32615</v>
      </c>
      <c r="C239" s="50" t="s">
        <v>35</v>
      </c>
      <c r="D239" s="50" t="s">
        <v>104</v>
      </c>
      <c r="E239" s="80" t="s">
        <v>308</v>
      </c>
      <c r="F239" s="50" t="s">
        <v>98</v>
      </c>
      <c r="G239" s="50" t="s">
        <v>794</v>
      </c>
      <c r="H239" s="88">
        <v>3999.5</v>
      </c>
      <c r="I239" s="88"/>
      <c r="J239" s="89"/>
      <c r="K239" s="89"/>
      <c r="L239" s="89">
        <f t="shared" si="6"/>
        <v>3999.5</v>
      </c>
      <c r="M239" s="87">
        <f t="shared" si="7"/>
        <v>3999.5</v>
      </c>
      <c r="N239" s="89"/>
      <c r="O239" s="89"/>
      <c r="P239" s="48">
        <v>41108</v>
      </c>
      <c r="Q239" s="48">
        <v>41292</v>
      </c>
      <c r="R239" s="49">
        <v>10774</v>
      </c>
    </row>
    <row r="240" spans="1:18" s="1" customFormat="1" ht="51" x14ac:dyDescent="0.2">
      <c r="A240" s="45" t="s">
        <v>795</v>
      </c>
      <c r="B240" s="57">
        <v>21813</v>
      </c>
      <c r="C240" s="50" t="s">
        <v>19</v>
      </c>
      <c r="D240" s="60" t="s">
        <v>796</v>
      </c>
      <c r="E240" s="80" t="s">
        <v>585</v>
      </c>
      <c r="F240" s="81" t="s">
        <v>121</v>
      </c>
      <c r="G240" s="60" t="s">
        <v>797</v>
      </c>
      <c r="H240" s="88">
        <f>480+900+8340+6380+966.8</f>
        <v>17066.8</v>
      </c>
      <c r="I240" s="88">
        <v>8640</v>
      </c>
      <c r="J240" s="89"/>
      <c r="K240" s="89">
        <f>9732.8-966.8</f>
        <v>8766</v>
      </c>
      <c r="L240" s="89">
        <f t="shared" si="6"/>
        <v>34472.800000000003</v>
      </c>
      <c r="M240" s="87">
        <f t="shared" si="7"/>
        <v>34472.800000000003</v>
      </c>
      <c r="N240" s="89"/>
      <c r="O240" s="89"/>
      <c r="P240" s="48">
        <v>41092</v>
      </c>
      <c r="Q240" s="48">
        <v>41822</v>
      </c>
      <c r="R240" s="61">
        <v>10099</v>
      </c>
    </row>
    <row r="241" spans="1:18" s="1" customFormat="1" ht="38.25" x14ac:dyDescent="0.2">
      <c r="A241" s="45" t="s">
        <v>798</v>
      </c>
      <c r="B241" s="57">
        <v>21832</v>
      </c>
      <c r="C241" s="50" t="s">
        <v>19</v>
      </c>
      <c r="D241" s="60" t="s">
        <v>799</v>
      </c>
      <c r="E241" s="80" t="s">
        <v>585</v>
      </c>
      <c r="F241" s="50" t="s">
        <v>45</v>
      </c>
      <c r="G241" s="60" t="s">
        <v>800</v>
      </c>
      <c r="H241" s="88">
        <f>3988.4+240+4280+4400+1120</f>
        <v>14028.4</v>
      </c>
      <c r="I241" s="88">
        <v>8640</v>
      </c>
      <c r="J241" s="89"/>
      <c r="K241" s="89">
        <f>1800</f>
        <v>1800</v>
      </c>
      <c r="L241" s="89">
        <f t="shared" si="6"/>
        <v>24468.400000000001</v>
      </c>
      <c r="M241" s="87">
        <f t="shared" si="7"/>
        <v>24468.400000000001</v>
      </c>
      <c r="N241" s="89"/>
      <c r="O241" s="89"/>
      <c r="P241" s="48">
        <v>41092</v>
      </c>
      <c r="Q241" s="48">
        <v>41822</v>
      </c>
      <c r="R241" s="61">
        <v>10092</v>
      </c>
    </row>
    <row r="242" spans="1:18" s="1" customFormat="1" ht="38.25" x14ac:dyDescent="0.2">
      <c r="A242" s="45" t="s">
        <v>801</v>
      </c>
      <c r="B242" s="57">
        <v>21899</v>
      </c>
      <c r="C242" s="50" t="s">
        <v>19</v>
      </c>
      <c r="D242" s="60" t="s">
        <v>802</v>
      </c>
      <c r="E242" s="80" t="s">
        <v>585</v>
      </c>
      <c r="F242" s="50" t="s">
        <v>63</v>
      </c>
      <c r="G242" s="60" t="s">
        <v>803</v>
      </c>
      <c r="H242" s="88">
        <v>16300</v>
      </c>
      <c r="I242" s="88">
        <v>8640</v>
      </c>
      <c r="J242" s="89"/>
      <c r="K242" s="89"/>
      <c r="L242" s="89">
        <f t="shared" si="6"/>
        <v>24940</v>
      </c>
      <c r="M242" s="87">
        <f t="shared" si="7"/>
        <v>24940</v>
      </c>
      <c r="N242" s="89"/>
      <c r="O242" s="89"/>
      <c r="P242" s="48">
        <v>41092</v>
      </c>
      <c r="Q242" s="48">
        <v>42645</v>
      </c>
      <c r="R242" s="61">
        <v>10174</v>
      </c>
    </row>
    <row r="243" spans="1:18" s="1" customFormat="1" ht="76.5" x14ac:dyDescent="0.2">
      <c r="A243" s="45" t="s">
        <v>804</v>
      </c>
      <c r="B243" s="57">
        <v>22113</v>
      </c>
      <c r="C243" s="50" t="s">
        <v>19</v>
      </c>
      <c r="D243" s="60" t="s">
        <v>805</v>
      </c>
      <c r="E243" s="80" t="s">
        <v>585</v>
      </c>
      <c r="F243" s="50" t="s">
        <v>109</v>
      </c>
      <c r="G243" s="60" t="s">
        <v>806</v>
      </c>
      <c r="H243" s="88">
        <f>7500+5535</f>
        <v>13035</v>
      </c>
      <c r="I243" s="88"/>
      <c r="J243" s="89"/>
      <c r="K243" s="89">
        <v>36900</v>
      </c>
      <c r="L243" s="89">
        <f t="shared" si="6"/>
        <v>49935</v>
      </c>
      <c r="M243" s="87">
        <f t="shared" si="7"/>
        <v>49935</v>
      </c>
      <c r="N243" s="89"/>
      <c r="O243" s="89"/>
      <c r="P243" s="48">
        <v>42185</v>
      </c>
      <c r="Q243" s="48">
        <v>42093</v>
      </c>
      <c r="R243" s="61">
        <v>10200</v>
      </c>
    </row>
    <row r="244" spans="1:18" s="1" customFormat="1" ht="38.25" x14ac:dyDescent="0.2">
      <c r="A244" s="45" t="s">
        <v>807</v>
      </c>
      <c r="B244" s="57">
        <v>22142</v>
      </c>
      <c r="C244" s="50" t="s">
        <v>19</v>
      </c>
      <c r="D244" s="60" t="s">
        <v>808</v>
      </c>
      <c r="E244" s="80" t="s">
        <v>585</v>
      </c>
      <c r="F244" s="50" t="s">
        <v>98</v>
      </c>
      <c r="G244" s="60" t="s">
        <v>809</v>
      </c>
      <c r="H244" s="88">
        <f>3750+3400</f>
        <v>7150</v>
      </c>
      <c r="I244" s="88"/>
      <c r="J244" s="89"/>
      <c r="K244" s="89">
        <v>9920</v>
      </c>
      <c r="L244" s="89">
        <f t="shared" si="6"/>
        <v>17070</v>
      </c>
      <c r="M244" s="87">
        <f t="shared" si="7"/>
        <v>17070</v>
      </c>
      <c r="N244" s="89"/>
      <c r="O244" s="89"/>
      <c r="P244" s="48">
        <v>41092</v>
      </c>
      <c r="Q244" s="48">
        <v>41822</v>
      </c>
      <c r="R244" s="61">
        <v>10198</v>
      </c>
    </row>
    <row r="245" spans="1:18" s="1" customFormat="1" ht="38.25" x14ac:dyDescent="0.2">
      <c r="A245" s="45" t="s">
        <v>810</v>
      </c>
      <c r="B245" s="57">
        <v>22338</v>
      </c>
      <c r="C245" s="50" t="s">
        <v>19</v>
      </c>
      <c r="D245" s="60" t="s">
        <v>299</v>
      </c>
      <c r="E245" s="80" t="s">
        <v>585</v>
      </c>
      <c r="F245" s="50" t="s">
        <v>26</v>
      </c>
      <c r="G245" s="60" t="s">
        <v>811</v>
      </c>
      <c r="H245" s="88">
        <f>10800+1563+19383+320</f>
        <v>32066</v>
      </c>
      <c r="I245" s="88">
        <v>8640</v>
      </c>
      <c r="J245" s="89"/>
      <c r="K245" s="89">
        <f>6960-320</f>
        <v>6640</v>
      </c>
      <c r="L245" s="89">
        <f t="shared" si="6"/>
        <v>47346</v>
      </c>
      <c r="M245" s="87">
        <f t="shared" si="7"/>
        <v>47346</v>
      </c>
      <c r="N245" s="89"/>
      <c r="O245" s="89"/>
      <c r="P245" s="48">
        <v>41087</v>
      </c>
      <c r="Q245" s="48">
        <v>42734</v>
      </c>
      <c r="R245" s="49">
        <v>10307</v>
      </c>
    </row>
    <row r="246" spans="1:18" s="1" customFormat="1" ht="38.25" x14ac:dyDescent="0.2">
      <c r="A246" s="45" t="s">
        <v>812</v>
      </c>
      <c r="B246" s="57">
        <v>22363</v>
      </c>
      <c r="C246" s="50" t="s">
        <v>19</v>
      </c>
      <c r="D246" s="60" t="s">
        <v>813</v>
      </c>
      <c r="E246" s="80" t="s">
        <v>585</v>
      </c>
      <c r="F246" s="50" t="s">
        <v>193</v>
      </c>
      <c r="G246" s="60" t="s">
        <v>814</v>
      </c>
      <c r="H246" s="88">
        <f>8570+3500</f>
        <v>12070</v>
      </c>
      <c r="I246" s="88"/>
      <c r="J246" s="89"/>
      <c r="K246" s="89">
        <v>18400</v>
      </c>
      <c r="L246" s="89">
        <f t="shared" si="6"/>
        <v>30470</v>
      </c>
      <c r="M246" s="87">
        <f t="shared" si="7"/>
        <v>30470</v>
      </c>
      <c r="N246" s="89"/>
      <c r="O246" s="89"/>
      <c r="P246" s="48">
        <v>41087</v>
      </c>
      <c r="Q246" s="48">
        <v>41817</v>
      </c>
      <c r="R246" s="49">
        <v>10302</v>
      </c>
    </row>
    <row r="247" spans="1:18" s="1" customFormat="1" ht="51" x14ac:dyDescent="0.2">
      <c r="A247" s="45" t="s">
        <v>815</v>
      </c>
      <c r="B247" s="57">
        <v>22369</v>
      </c>
      <c r="C247" s="50" t="s">
        <v>19</v>
      </c>
      <c r="D247" s="60" t="s">
        <v>816</v>
      </c>
      <c r="E247" s="80" t="s">
        <v>585</v>
      </c>
      <c r="F247" s="50" t="s">
        <v>71</v>
      </c>
      <c r="G247" s="60" t="s">
        <v>817</v>
      </c>
      <c r="H247" s="88">
        <v>9600</v>
      </c>
      <c r="I247" s="88"/>
      <c r="J247" s="89"/>
      <c r="K247" s="89">
        <v>5400</v>
      </c>
      <c r="L247" s="89">
        <f t="shared" si="6"/>
        <v>15000</v>
      </c>
      <c r="M247" s="87">
        <f t="shared" si="7"/>
        <v>15000</v>
      </c>
      <c r="N247" s="89"/>
      <c r="O247" s="89"/>
      <c r="P247" s="48">
        <v>41087</v>
      </c>
      <c r="Q247" s="48">
        <v>42090</v>
      </c>
      <c r="R247" s="49">
        <v>10442</v>
      </c>
    </row>
    <row r="248" spans="1:18" s="1" customFormat="1" ht="38.25" x14ac:dyDescent="0.2">
      <c r="A248" s="45" t="s">
        <v>818</v>
      </c>
      <c r="B248" s="57">
        <v>22390</v>
      </c>
      <c r="C248" s="50" t="s">
        <v>19</v>
      </c>
      <c r="D248" s="60" t="s">
        <v>819</v>
      </c>
      <c r="E248" s="80" t="s">
        <v>585</v>
      </c>
      <c r="F248" s="50" t="s">
        <v>94</v>
      </c>
      <c r="G248" s="60" t="s">
        <v>820</v>
      </c>
      <c r="H248" s="88">
        <v>11656</v>
      </c>
      <c r="I248" s="88"/>
      <c r="J248" s="89"/>
      <c r="K248" s="89">
        <v>13250</v>
      </c>
      <c r="L248" s="89">
        <f t="shared" si="6"/>
        <v>24906</v>
      </c>
      <c r="M248" s="87">
        <f t="shared" si="7"/>
        <v>24906</v>
      </c>
      <c r="N248" s="89"/>
      <c r="O248" s="89"/>
      <c r="P248" s="48">
        <v>41087</v>
      </c>
      <c r="Q248" s="48">
        <v>42090</v>
      </c>
      <c r="R248" s="49">
        <v>10438</v>
      </c>
    </row>
    <row r="249" spans="1:18" s="1" customFormat="1" ht="89.25" x14ac:dyDescent="0.2">
      <c r="A249" s="45" t="s">
        <v>821</v>
      </c>
      <c r="B249" s="57">
        <v>22463</v>
      </c>
      <c r="C249" s="50" t="s">
        <v>19</v>
      </c>
      <c r="D249" s="60" t="s">
        <v>822</v>
      </c>
      <c r="E249" s="80" t="s">
        <v>585</v>
      </c>
      <c r="F249" s="50" t="s">
        <v>167</v>
      </c>
      <c r="G249" s="60" t="s">
        <v>823</v>
      </c>
      <c r="H249" s="88">
        <v>10880.55</v>
      </c>
      <c r="I249" s="88"/>
      <c r="J249" s="89"/>
      <c r="K249" s="89">
        <v>38905</v>
      </c>
      <c r="L249" s="89">
        <f t="shared" si="6"/>
        <v>49785.55</v>
      </c>
      <c r="M249" s="87">
        <f t="shared" si="7"/>
        <v>49785.55</v>
      </c>
      <c r="N249" s="89"/>
      <c r="O249" s="89"/>
      <c r="P249" s="48">
        <v>41087</v>
      </c>
      <c r="Q249" s="48">
        <v>42090</v>
      </c>
      <c r="R249" s="49">
        <v>10436</v>
      </c>
    </row>
    <row r="250" spans="1:18" s="1" customFormat="1" ht="38.25" x14ac:dyDescent="0.2">
      <c r="A250" s="45" t="s">
        <v>824</v>
      </c>
      <c r="B250" s="57">
        <v>22510</v>
      </c>
      <c r="C250" s="50" t="s">
        <v>19</v>
      </c>
      <c r="D250" s="60" t="s">
        <v>825</v>
      </c>
      <c r="E250" s="80" t="s">
        <v>585</v>
      </c>
      <c r="F250" s="50" t="s">
        <v>98</v>
      </c>
      <c r="G250" s="60" t="s">
        <v>826</v>
      </c>
      <c r="H250" s="88">
        <f>4480+1200+20000</f>
        <v>25680</v>
      </c>
      <c r="I250" s="88">
        <v>8640</v>
      </c>
      <c r="J250" s="89"/>
      <c r="K250" s="89">
        <v>3600</v>
      </c>
      <c r="L250" s="89">
        <f t="shared" si="6"/>
        <v>37920</v>
      </c>
      <c r="M250" s="87">
        <f t="shared" si="7"/>
        <v>37920</v>
      </c>
      <c r="N250" s="89"/>
      <c r="O250" s="89"/>
      <c r="P250" s="48">
        <v>41087</v>
      </c>
      <c r="Q250" s="48">
        <v>42090</v>
      </c>
      <c r="R250" s="49">
        <v>10413</v>
      </c>
    </row>
    <row r="251" spans="1:18" s="1" customFormat="1" ht="38.25" x14ac:dyDescent="0.2">
      <c r="A251" s="45" t="s">
        <v>827</v>
      </c>
      <c r="B251" s="57">
        <v>22534</v>
      </c>
      <c r="C251" s="50" t="s">
        <v>19</v>
      </c>
      <c r="D251" s="60" t="s">
        <v>828</v>
      </c>
      <c r="E251" s="80" t="s">
        <v>585</v>
      </c>
      <c r="F251" s="50" t="s">
        <v>22</v>
      </c>
      <c r="G251" s="60" t="s">
        <v>829</v>
      </c>
      <c r="H251" s="88">
        <f>2000</f>
        <v>2000</v>
      </c>
      <c r="I251" s="88"/>
      <c r="J251" s="89"/>
      <c r="K251" s="89">
        <v>41700</v>
      </c>
      <c r="L251" s="89">
        <f t="shared" si="6"/>
        <v>43700</v>
      </c>
      <c r="M251" s="87">
        <f t="shared" si="7"/>
        <v>43700</v>
      </c>
      <c r="N251" s="89"/>
      <c r="O251" s="89"/>
      <c r="P251" s="48">
        <v>41087</v>
      </c>
      <c r="Q251" s="48">
        <v>42090</v>
      </c>
      <c r="R251" s="49">
        <v>10456</v>
      </c>
    </row>
    <row r="252" spans="1:18" s="1" customFormat="1" ht="38.25" x14ac:dyDescent="0.2">
      <c r="A252" s="45" t="s">
        <v>830</v>
      </c>
      <c r="B252" s="57">
        <v>22555</v>
      </c>
      <c r="C252" s="50" t="s">
        <v>19</v>
      </c>
      <c r="D252" s="60" t="s">
        <v>831</v>
      </c>
      <c r="E252" s="80" t="s">
        <v>585</v>
      </c>
      <c r="F252" s="50" t="s">
        <v>167</v>
      </c>
      <c r="G252" s="60" t="s">
        <v>832</v>
      </c>
      <c r="H252" s="88">
        <v>720</v>
      </c>
      <c r="I252" s="88">
        <v>8640</v>
      </c>
      <c r="J252" s="89"/>
      <c r="K252" s="89">
        <v>31920</v>
      </c>
      <c r="L252" s="89">
        <f t="shared" si="6"/>
        <v>41280</v>
      </c>
      <c r="M252" s="87">
        <f t="shared" si="7"/>
        <v>41280</v>
      </c>
      <c r="N252" s="89"/>
      <c r="O252" s="89"/>
      <c r="P252" s="48">
        <v>41087</v>
      </c>
      <c r="Q252" s="48">
        <v>42090</v>
      </c>
      <c r="R252" s="49">
        <v>10569</v>
      </c>
    </row>
    <row r="253" spans="1:18" s="1" customFormat="1" ht="51" x14ac:dyDescent="0.2">
      <c r="A253" s="45" t="s">
        <v>833</v>
      </c>
      <c r="B253" s="57">
        <v>22590</v>
      </c>
      <c r="C253" s="50" t="s">
        <v>19</v>
      </c>
      <c r="D253" s="60" t="s">
        <v>834</v>
      </c>
      <c r="E253" s="80" t="s">
        <v>585</v>
      </c>
      <c r="F253" s="50" t="s">
        <v>98</v>
      </c>
      <c r="G253" s="60" t="s">
        <v>835</v>
      </c>
      <c r="H253" s="88">
        <f>4000+3000+5000+6000</f>
        <v>18000</v>
      </c>
      <c r="I253" s="88">
        <v>8640</v>
      </c>
      <c r="J253" s="89"/>
      <c r="K253" s="89"/>
      <c r="L253" s="89">
        <f t="shared" si="6"/>
        <v>26640</v>
      </c>
      <c r="M253" s="87">
        <f t="shared" si="7"/>
        <v>26640</v>
      </c>
      <c r="N253" s="89"/>
      <c r="O253" s="89"/>
      <c r="P253" s="48">
        <v>41092</v>
      </c>
      <c r="Q253" s="48">
        <v>41822</v>
      </c>
      <c r="R253" s="61">
        <v>10196</v>
      </c>
    </row>
    <row r="254" spans="1:18" s="1" customFormat="1" ht="25.5" x14ac:dyDescent="0.2">
      <c r="A254" s="45" t="s">
        <v>836</v>
      </c>
      <c r="B254" s="57">
        <v>22597</v>
      </c>
      <c r="C254" s="50" t="s">
        <v>19</v>
      </c>
      <c r="D254" s="60" t="s">
        <v>837</v>
      </c>
      <c r="E254" s="80" t="s">
        <v>585</v>
      </c>
      <c r="F254" s="50" t="s">
        <v>71</v>
      </c>
      <c r="G254" s="60" t="s">
        <v>838</v>
      </c>
      <c r="H254" s="88">
        <f>14455+8000</f>
        <v>22455</v>
      </c>
      <c r="I254" s="88"/>
      <c r="J254" s="89"/>
      <c r="K254" s="89">
        <v>26500</v>
      </c>
      <c r="L254" s="89">
        <f t="shared" si="6"/>
        <v>48955</v>
      </c>
      <c r="M254" s="87">
        <f t="shared" si="7"/>
        <v>48955</v>
      </c>
      <c r="N254" s="89"/>
      <c r="O254" s="89"/>
      <c r="P254" s="48">
        <v>41109</v>
      </c>
      <c r="Q254" s="48">
        <v>42935</v>
      </c>
      <c r="R254" s="49">
        <v>10872</v>
      </c>
    </row>
    <row r="255" spans="1:18" s="1" customFormat="1" ht="25.5" x14ac:dyDescent="0.2">
      <c r="A255" s="45" t="s">
        <v>839</v>
      </c>
      <c r="B255" s="57">
        <v>22605</v>
      </c>
      <c r="C255" s="50" t="s">
        <v>19</v>
      </c>
      <c r="D255" s="60" t="s">
        <v>562</v>
      </c>
      <c r="E255" s="80" t="s">
        <v>585</v>
      </c>
      <c r="F255" s="50" t="s">
        <v>45</v>
      </c>
      <c r="G255" s="60" t="s">
        <v>840</v>
      </c>
      <c r="H255" s="88">
        <f>7680+7200+3500</f>
        <v>18380</v>
      </c>
      <c r="I255" s="88">
        <v>8640</v>
      </c>
      <c r="J255" s="89"/>
      <c r="K255" s="89">
        <v>10000</v>
      </c>
      <c r="L255" s="89">
        <f t="shared" si="6"/>
        <v>37020</v>
      </c>
      <c r="M255" s="87">
        <f t="shared" si="7"/>
        <v>37020</v>
      </c>
      <c r="N255" s="89"/>
      <c r="O255" s="89"/>
      <c r="P255" s="48">
        <v>41092</v>
      </c>
      <c r="Q255" s="48">
        <v>42006</v>
      </c>
      <c r="R255" s="61">
        <v>10195</v>
      </c>
    </row>
    <row r="256" spans="1:18" s="1" customFormat="1" ht="38.25" x14ac:dyDescent="0.2">
      <c r="A256" s="45" t="s">
        <v>841</v>
      </c>
      <c r="B256" s="57">
        <v>22690</v>
      </c>
      <c r="C256" s="50" t="s">
        <v>19</v>
      </c>
      <c r="D256" s="60" t="s">
        <v>842</v>
      </c>
      <c r="E256" s="80" t="s">
        <v>585</v>
      </c>
      <c r="F256" s="50" t="s">
        <v>22</v>
      </c>
      <c r="G256" s="60" t="s">
        <v>843</v>
      </c>
      <c r="H256" s="88">
        <f>13440+3000+10000+6000</f>
        <v>32440</v>
      </c>
      <c r="I256" s="88"/>
      <c r="J256" s="89"/>
      <c r="K256" s="89">
        <v>9000</v>
      </c>
      <c r="L256" s="89">
        <f t="shared" si="6"/>
        <v>41440</v>
      </c>
      <c r="M256" s="87">
        <f t="shared" si="7"/>
        <v>41440</v>
      </c>
      <c r="N256" s="89"/>
      <c r="O256" s="89"/>
      <c r="P256" s="48">
        <v>41092</v>
      </c>
      <c r="Q256" s="48">
        <v>41822</v>
      </c>
      <c r="R256" s="61">
        <v>10193</v>
      </c>
    </row>
    <row r="257" spans="1:18" s="1" customFormat="1" ht="51" x14ac:dyDescent="0.2">
      <c r="A257" s="45" t="s">
        <v>844</v>
      </c>
      <c r="B257" s="57">
        <v>22721</v>
      </c>
      <c r="C257" s="50" t="s">
        <v>19</v>
      </c>
      <c r="D257" s="60" t="s">
        <v>845</v>
      </c>
      <c r="E257" s="80" t="s">
        <v>585</v>
      </c>
      <c r="F257" s="50" t="s">
        <v>63</v>
      </c>
      <c r="G257" s="60" t="s">
        <v>846</v>
      </c>
      <c r="H257" s="88">
        <v>20154</v>
      </c>
      <c r="I257" s="88"/>
      <c r="J257" s="89"/>
      <c r="K257" s="89"/>
      <c r="L257" s="89">
        <f t="shared" si="6"/>
        <v>20154</v>
      </c>
      <c r="M257" s="87">
        <f t="shared" si="7"/>
        <v>20154</v>
      </c>
      <c r="N257" s="89"/>
      <c r="O257" s="89"/>
      <c r="P257" s="48">
        <v>41087</v>
      </c>
      <c r="Q257" s="48">
        <v>42090</v>
      </c>
      <c r="R257" s="49">
        <v>10567</v>
      </c>
    </row>
    <row r="258" spans="1:18" s="1" customFormat="1" ht="76.5" x14ac:dyDescent="0.2">
      <c r="A258" s="45" t="s">
        <v>847</v>
      </c>
      <c r="B258" s="57">
        <v>22773</v>
      </c>
      <c r="C258" s="50" t="s">
        <v>19</v>
      </c>
      <c r="D258" s="60" t="s">
        <v>848</v>
      </c>
      <c r="E258" s="80" t="s">
        <v>585</v>
      </c>
      <c r="F258" s="50" t="s">
        <v>94</v>
      </c>
      <c r="G258" s="60" t="s">
        <v>849</v>
      </c>
      <c r="H258" s="88">
        <f>6720+6288+12000+2000</f>
        <v>27008</v>
      </c>
      <c r="I258" s="88">
        <v>8640</v>
      </c>
      <c r="J258" s="89"/>
      <c r="K258" s="89">
        <f>8500-1200-2000</f>
        <v>5300</v>
      </c>
      <c r="L258" s="89">
        <f t="shared" si="6"/>
        <v>40948</v>
      </c>
      <c r="M258" s="87">
        <f t="shared" si="7"/>
        <v>40948</v>
      </c>
      <c r="N258" s="89"/>
      <c r="O258" s="89"/>
      <c r="P258" s="48">
        <v>41087</v>
      </c>
      <c r="Q258" s="48">
        <v>42004</v>
      </c>
      <c r="R258" s="49">
        <v>10553</v>
      </c>
    </row>
    <row r="259" spans="1:18" s="1" customFormat="1" ht="38.25" x14ac:dyDescent="0.2">
      <c r="A259" s="45" t="s">
        <v>850</v>
      </c>
      <c r="B259" s="57">
        <v>22825</v>
      </c>
      <c r="C259" s="50" t="s">
        <v>19</v>
      </c>
      <c r="D259" s="60" t="s">
        <v>851</v>
      </c>
      <c r="E259" s="80" t="s">
        <v>585</v>
      </c>
      <c r="F259" s="50" t="s">
        <v>193</v>
      </c>
      <c r="G259" s="60" t="s">
        <v>852</v>
      </c>
      <c r="H259" s="88">
        <f>6000</f>
        <v>6000</v>
      </c>
      <c r="I259" s="88"/>
      <c r="J259" s="89"/>
      <c r="K259" s="89">
        <v>43999.5</v>
      </c>
      <c r="L259" s="89">
        <f t="shared" si="6"/>
        <v>49999.5</v>
      </c>
      <c r="M259" s="87">
        <f t="shared" si="7"/>
        <v>49999.5</v>
      </c>
      <c r="N259" s="89"/>
      <c r="O259" s="89"/>
      <c r="P259" s="48">
        <v>41092</v>
      </c>
      <c r="Q259" s="48">
        <v>42522</v>
      </c>
      <c r="R259" s="61">
        <v>10192</v>
      </c>
    </row>
    <row r="260" spans="1:18" s="1" customFormat="1" ht="51" x14ac:dyDescent="0.2">
      <c r="A260" s="45" t="s">
        <v>853</v>
      </c>
      <c r="B260" s="57">
        <v>22870</v>
      </c>
      <c r="C260" s="50" t="s">
        <v>19</v>
      </c>
      <c r="D260" s="60" t="s">
        <v>854</v>
      </c>
      <c r="E260" s="80" t="s">
        <v>585</v>
      </c>
      <c r="F260" s="50" t="s">
        <v>193</v>
      </c>
      <c r="G260" s="60" t="s">
        <v>855</v>
      </c>
      <c r="H260" s="88">
        <v>3000</v>
      </c>
      <c r="I260" s="88"/>
      <c r="J260" s="89"/>
      <c r="K260" s="89">
        <v>22000</v>
      </c>
      <c r="L260" s="89">
        <f t="shared" si="6"/>
        <v>25000</v>
      </c>
      <c r="M260" s="87">
        <f t="shared" si="7"/>
        <v>25000</v>
      </c>
      <c r="N260" s="89"/>
      <c r="O260" s="89"/>
      <c r="P260" s="48">
        <v>41092</v>
      </c>
      <c r="Q260" s="48">
        <v>41822</v>
      </c>
      <c r="R260" s="61">
        <v>10190</v>
      </c>
    </row>
    <row r="261" spans="1:18" s="1" customFormat="1" ht="25.5" x14ac:dyDescent="0.2">
      <c r="A261" s="45" t="s">
        <v>856</v>
      </c>
      <c r="B261" s="57">
        <v>22873</v>
      </c>
      <c r="C261" s="50" t="s">
        <v>19</v>
      </c>
      <c r="D261" s="60" t="s">
        <v>857</v>
      </c>
      <c r="E261" s="80" t="s">
        <v>585</v>
      </c>
      <c r="F261" s="50" t="s">
        <v>63</v>
      </c>
      <c r="G261" s="60" t="s">
        <v>858</v>
      </c>
      <c r="H261" s="88">
        <v>270</v>
      </c>
      <c r="I261" s="88">
        <v>7200</v>
      </c>
      <c r="J261" s="89"/>
      <c r="K261" s="89">
        <f>1000+1800</f>
        <v>2800</v>
      </c>
      <c r="L261" s="89">
        <f t="shared" si="6"/>
        <v>10270</v>
      </c>
      <c r="M261" s="87">
        <f t="shared" si="7"/>
        <v>10270</v>
      </c>
      <c r="N261" s="89"/>
      <c r="O261" s="89"/>
      <c r="P261" s="48">
        <v>41092</v>
      </c>
      <c r="Q261" s="48">
        <v>42645</v>
      </c>
      <c r="R261" s="61">
        <v>10187</v>
      </c>
    </row>
    <row r="262" spans="1:18" s="1" customFormat="1" ht="51" x14ac:dyDescent="0.2">
      <c r="A262" s="45" t="s">
        <v>859</v>
      </c>
      <c r="B262" s="57">
        <v>22879</v>
      </c>
      <c r="C262" s="50" t="s">
        <v>19</v>
      </c>
      <c r="D262" s="60" t="s">
        <v>173</v>
      </c>
      <c r="E262" s="80" t="s">
        <v>585</v>
      </c>
      <c r="F262" s="50" t="s">
        <v>109</v>
      </c>
      <c r="G262" s="60" t="s">
        <v>860</v>
      </c>
      <c r="H262" s="88">
        <f>10001+1500</f>
        <v>11501</v>
      </c>
      <c r="I262" s="88"/>
      <c r="J262" s="89"/>
      <c r="K262" s="89">
        <v>13000</v>
      </c>
      <c r="L262" s="89">
        <f t="shared" si="6"/>
        <v>24501</v>
      </c>
      <c r="M262" s="87">
        <f t="shared" si="7"/>
        <v>24501</v>
      </c>
      <c r="N262" s="89"/>
      <c r="O262" s="89"/>
      <c r="P262" s="48">
        <v>41087</v>
      </c>
      <c r="Q262" s="48">
        <v>42365</v>
      </c>
      <c r="R262" s="49">
        <v>10550</v>
      </c>
    </row>
    <row r="263" spans="1:18" s="1" customFormat="1" ht="38.25" x14ac:dyDescent="0.2">
      <c r="A263" s="45" t="s">
        <v>861</v>
      </c>
      <c r="B263" s="57">
        <v>22969</v>
      </c>
      <c r="C263" s="50" t="s">
        <v>19</v>
      </c>
      <c r="D263" s="60" t="s">
        <v>862</v>
      </c>
      <c r="E263" s="80" t="s">
        <v>585</v>
      </c>
      <c r="F263" s="50" t="s">
        <v>121</v>
      </c>
      <c r="G263" s="60" t="s">
        <v>863</v>
      </c>
      <c r="H263" s="88">
        <f>1560</f>
        <v>1560</v>
      </c>
      <c r="I263" s="88">
        <v>8640</v>
      </c>
      <c r="J263" s="89"/>
      <c r="K263" s="89">
        <v>9600</v>
      </c>
      <c r="L263" s="89">
        <f t="shared" ref="L263:L326" si="8">H263+I263+J263+K263</f>
        <v>19800</v>
      </c>
      <c r="M263" s="87">
        <f t="shared" ref="M263:M326" si="9">SUM(L263)</f>
        <v>19800</v>
      </c>
      <c r="N263" s="89"/>
      <c r="O263" s="89"/>
      <c r="P263" s="48">
        <v>41087</v>
      </c>
      <c r="Q263" s="48">
        <v>42090</v>
      </c>
      <c r="R263" s="49">
        <v>10544</v>
      </c>
    </row>
    <row r="264" spans="1:18" s="1" customFormat="1" ht="51" x14ac:dyDescent="0.2">
      <c r="A264" s="45" t="s">
        <v>864</v>
      </c>
      <c r="B264" s="57">
        <v>22983</v>
      </c>
      <c r="C264" s="50" t="s">
        <v>19</v>
      </c>
      <c r="D264" s="60" t="s">
        <v>451</v>
      </c>
      <c r="E264" s="80" t="s">
        <v>585</v>
      </c>
      <c r="F264" s="50" t="s">
        <v>63</v>
      </c>
      <c r="G264" s="60" t="s">
        <v>865</v>
      </c>
      <c r="H264" s="88">
        <v>16241</v>
      </c>
      <c r="I264" s="88">
        <v>8640</v>
      </c>
      <c r="J264" s="89"/>
      <c r="K264" s="89"/>
      <c r="L264" s="89">
        <f t="shared" si="8"/>
        <v>24881</v>
      </c>
      <c r="M264" s="87">
        <f t="shared" si="9"/>
        <v>24881</v>
      </c>
      <c r="N264" s="89"/>
      <c r="O264" s="89"/>
      <c r="P264" s="48">
        <v>41087</v>
      </c>
      <c r="Q264" s="48">
        <v>42151</v>
      </c>
      <c r="R264" s="49">
        <v>10541</v>
      </c>
    </row>
    <row r="265" spans="1:18" s="1" customFormat="1" ht="51" x14ac:dyDescent="0.2">
      <c r="A265" s="45" t="s">
        <v>866</v>
      </c>
      <c r="B265" s="57">
        <v>23016</v>
      </c>
      <c r="C265" s="50" t="s">
        <v>19</v>
      </c>
      <c r="D265" s="60" t="s">
        <v>867</v>
      </c>
      <c r="E265" s="80" t="s">
        <v>585</v>
      </c>
      <c r="F265" s="50" t="s">
        <v>167</v>
      </c>
      <c r="G265" s="60" t="s">
        <v>868</v>
      </c>
      <c r="H265" s="88">
        <f>27340+8400+1600</f>
        <v>37340</v>
      </c>
      <c r="I265" s="88"/>
      <c r="J265" s="89"/>
      <c r="K265" s="89">
        <v>3700</v>
      </c>
      <c r="L265" s="89">
        <f t="shared" si="8"/>
        <v>41040</v>
      </c>
      <c r="M265" s="87">
        <f t="shared" si="9"/>
        <v>41040</v>
      </c>
      <c r="N265" s="89"/>
      <c r="O265" s="89"/>
      <c r="P265" s="48">
        <v>41087</v>
      </c>
      <c r="Q265" s="48">
        <v>42182</v>
      </c>
      <c r="R265" s="49">
        <v>10537</v>
      </c>
    </row>
    <row r="266" spans="1:18" s="1" customFormat="1" ht="38.25" x14ac:dyDescent="0.2">
      <c r="A266" s="45" t="s">
        <v>869</v>
      </c>
      <c r="B266" s="57">
        <v>23289</v>
      </c>
      <c r="C266" s="50" t="s">
        <v>19</v>
      </c>
      <c r="D266" s="60" t="s">
        <v>870</v>
      </c>
      <c r="E266" s="80" t="s">
        <v>585</v>
      </c>
      <c r="F266" s="50" t="s">
        <v>94</v>
      </c>
      <c r="G266" s="60" t="s">
        <v>871</v>
      </c>
      <c r="H266" s="88">
        <f>37800+2000</f>
        <v>39800</v>
      </c>
      <c r="I266" s="88">
        <v>8640</v>
      </c>
      <c r="J266" s="89"/>
      <c r="K266" s="89"/>
      <c r="L266" s="89">
        <f t="shared" si="8"/>
        <v>48440</v>
      </c>
      <c r="M266" s="87">
        <f t="shared" si="9"/>
        <v>48440</v>
      </c>
      <c r="N266" s="89"/>
      <c r="O266" s="89"/>
      <c r="P266" s="48">
        <v>41087</v>
      </c>
      <c r="Q266" s="48">
        <v>42090</v>
      </c>
      <c r="R266" s="49">
        <v>10536</v>
      </c>
    </row>
    <row r="267" spans="1:18" s="1" customFormat="1" ht="63.75" x14ac:dyDescent="0.2">
      <c r="A267" s="45" t="s">
        <v>872</v>
      </c>
      <c r="B267" s="57">
        <v>23309</v>
      </c>
      <c r="C267" s="50" t="s">
        <v>19</v>
      </c>
      <c r="D267" s="60" t="s">
        <v>222</v>
      </c>
      <c r="E267" s="80" t="s">
        <v>585</v>
      </c>
      <c r="F267" s="50" t="s">
        <v>193</v>
      </c>
      <c r="G267" s="60" t="s">
        <v>873</v>
      </c>
      <c r="H267" s="88">
        <f>22000+3000</f>
        <v>25000</v>
      </c>
      <c r="I267" s="88"/>
      <c r="J267" s="89"/>
      <c r="K267" s="89"/>
      <c r="L267" s="89">
        <f t="shared" si="8"/>
        <v>25000</v>
      </c>
      <c r="M267" s="87">
        <f t="shared" si="9"/>
        <v>25000</v>
      </c>
      <c r="N267" s="89"/>
      <c r="O267" s="89"/>
      <c r="P267" s="48">
        <v>41087</v>
      </c>
      <c r="Q267" s="48">
        <v>42906</v>
      </c>
      <c r="R267" s="49">
        <v>10519</v>
      </c>
    </row>
    <row r="268" spans="1:18" s="1" customFormat="1" ht="51" x14ac:dyDescent="0.2">
      <c r="A268" s="45" t="s">
        <v>874</v>
      </c>
      <c r="B268" s="57">
        <v>23320</v>
      </c>
      <c r="C268" s="50" t="s">
        <v>19</v>
      </c>
      <c r="D268" s="60" t="s">
        <v>875</v>
      </c>
      <c r="E268" s="80" t="s">
        <v>585</v>
      </c>
      <c r="F268" s="50" t="s">
        <v>193</v>
      </c>
      <c r="G268" s="60" t="s">
        <v>876</v>
      </c>
      <c r="H268" s="88">
        <f>63400+12000</f>
        <v>75400</v>
      </c>
      <c r="I268" s="88"/>
      <c r="J268" s="89"/>
      <c r="K268" s="89">
        <v>24600</v>
      </c>
      <c r="L268" s="89">
        <f t="shared" si="8"/>
        <v>100000</v>
      </c>
      <c r="M268" s="87">
        <f t="shared" si="9"/>
        <v>100000</v>
      </c>
      <c r="N268" s="89"/>
      <c r="O268" s="89"/>
      <c r="P268" s="48">
        <v>41087</v>
      </c>
      <c r="Q268" s="48">
        <v>42090</v>
      </c>
      <c r="R268" s="49">
        <v>10516</v>
      </c>
    </row>
    <row r="269" spans="1:18" s="1" customFormat="1" ht="38.25" x14ac:dyDescent="0.2">
      <c r="A269" s="45" t="s">
        <v>877</v>
      </c>
      <c r="B269" s="57">
        <v>23340</v>
      </c>
      <c r="C269" s="50" t="s">
        <v>19</v>
      </c>
      <c r="D269" s="60" t="s">
        <v>878</v>
      </c>
      <c r="E269" s="80" t="s">
        <v>585</v>
      </c>
      <c r="F269" s="50" t="s">
        <v>22</v>
      </c>
      <c r="G269" s="60" t="s">
        <v>879</v>
      </c>
      <c r="H269" s="88">
        <v>1200</v>
      </c>
      <c r="I269" s="88">
        <v>8640</v>
      </c>
      <c r="J269" s="89"/>
      <c r="K269" s="89">
        <f>6510-3000</f>
        <v>3510</v>
      </c>
      <c r="L269" s="89">
        <f t="shared" si="8"/>
        <v>13350</v>
      </c>
      <c r="M269" s="87">
        <f t="shared" si="9"/>
        <v>13350</v>
      </c>
      <c r="N269" s="89"/>
      <c r="O269" s="89"/>
      <c r="P269" s="48">
        <v>41087</v>
      </c>
      <c r="Q269" s="48">
        <v>42278</v>
      </c>
      <c r="R269" s="49">
        <v>10512</v>
      </c>
    </row>
    <row r="270" spans="1:18" s="1" customFormat="1" ht="51" x14ac:dyDescent="0.2">
      <c r="A270" s="45" t="s">
        <v>880</v>
      </c>
      <c r="B270" s="57">
        <v>23407</v>
      </c>
      <c r="C270" s="50" t="s">
        <v>19</v>
      </c>
      <c r="D270" s="60" t="s">
        <v>881</v>
      </c>
      <c r="E270" s="80" t="s">
        <v>585</v>
      </c>
      <c r="F270" s="50" t="s">
        <v>193</v>
      </c>
      <c r="G270" s="60" t="s">
        <v>882</v>
      </c>
      <c r="H270" s="88">
        <v>15000</v>
      </c>
      <c r="I270" s="88"/>
      <c r="J270" s="89"/>
      <c r="K270" s="89"/>
      <c r="L270" s="89">
        <f t="shared" si="8"/>
        <v>15000</v>
      </c>
      <c r="M270" s="87">
        <f t="shared" si="9"/>
        <v>15000</v>
      </c>
      <c r="N270" s="89"/>
      <c r="O270" s="89"/>
      <c r="P270" s="48">
        <v>41087</v>
      </c>
      <c r="Q270" s="48">
        <v>41817</v>
      </c>
      <c r="R270" s="49">
        <v>10400</v>
      </c>
    </row>
    <row r="271" spans="1:18" s="1" customFormat="1" ht="76.5" x14ac:dyDescent="0.2">
      <c r="A271" s="45" t="s">
        <v>883</v>
      </c>
      <c r="B271" s="57">
        <v>23444</v>
      </c>
      <c r="C271" s="50" t="s">
        <v>19</v>
      </c>
      <c r="D271" s="60" t="s">
        <v>884</v>
      </c>
      <c r="E271" s="80" t="s">
        <v>585</v>
      </c>
      <c r="F271" s="50" t="s">
        <v>109</v>
      </c>
      <c r="G271" s="60" t="s">
        <v>885</v>
      </c>
      <c r="H271" s="88">
        <f>21900+2000</f>
        <v>23900</v>
      </c>
      <c r="I271" s="88"/>
      <c r="J271" s="89"/>
      <c r="K271" s="89">
        <v>18900</v>
      </c>
      <c r="L271" s="89">
        <f t="shared" si="8"/>
        <v>42800</v>
      </c>
      <c r="M271" s="87">
        <f t="shared" si="9"/>
        <v>42800</v>
      </c>
      <c r="N271" s="89"/>
      <c r="O271" s="89"/>
      <c r="P271" s="48">
        <v>41092</v>
      </c>
      <c r="Q271" s="48">
        <v>42918</v>
      </c>
      <c r="R271" s="61">
        <v>10185</v>
      </c>
    </row>
    <row r="272" spans="1:18" s="1" customFormat="1" ht="25.5" x14ac:dyDescent="0.2">
      <c r="A272" s="45" t="s">
        <v>886</v>
      </c>
      <c r="B272" s="57">
        <v>23525</v>
      </c>
      <c r="C272" s="50" t="s">
        <v>19</v>
      </c>
      <c r="D272" s="60" t="s">
        <v>887</v>
      </c>
      <c r="E272" s="80" t="s">
        <v>585</v>
      </c>
      <c r="F272" s="50" t="s">
        <v>193</v>
      </c>
      <c r="G272" s="60" t="s">
        <v>888</v>
      </c>
      <c r="H272" s="88">
        <v>12150</v>
      </c>
      <c r="I272" s="88"/>
      <c r="J272" s="89"/>
      <c r="K272" s="89">
        <v>12850</v>
      </c>
      <c r="L272" s="89">
        <f t="shared" si="8"/>
        <v>25000</v>
      </c>
      <c r="M272" s="87">
        <f t="shared" si="9"/>
        <v>25000</v>
      </c>
      <c r="N272" s="89"/>
      <c r="O272" s="89"/>
      <c r="P272" s="48">
        <v>41092</v>
      </c>
      <c r="Q272" s="48">
        <v>41822</v>
      </c>
      <c r="R272" s="61">
        <v>10183</v>
      </c>
    </row>
    <row r="273" spans="1:18" s="1" customFormat="1" ht="38.25" x14ac:dyDescent="0.2">
      <c r="A273" s="45" t="s">
        <v>889</v>
      </c>
      <c r="B273" s="57">
        <v>23709</v>
      </c>
      <c r="C273" s="50" t="s">
        <v>19</v>
      </c>
      <c r="D273" s="60" t="s">
        <v>890</v>
      </c>
      <c r="E273" s="80" t="s">
        <v>585</v>
      </c>
      <c r="F273" s="50" t="s">
        <v>45</v>
      </c>
      <c r="G273" s="60" t="s">
        <v>891</v>
      </c>
      <c r="H273" s="88">
        <f>3200+8000+5000+5000-500-2500</f>
        <v>18200</v>
      </c>
      <c r="I273" s="88">
        <v>8640</v>
      </c>
      <c r="J273" s="89"/>
      <c r="K273" s="89">
        <f>19900-600</f>
        <v>19300</v>
      </c>
      <c r="L273" s="89">
        <f t="shared" si="8"/>
        <v>46140</v>
      </c>
      <c r="M273" s="87">
        <f t="shared" si="9"/>
        <v>46140</v>
      </c>
      <c r="N273" s="89"/>
      <c r="O273" s="89"/>
      <c r="P273" s="48">
        <v>41092</v>
      </c>
      <c r="Q273" s="48">
        <v>42920</v>
      </c>
      <c r="R273" s="61">
        <v>10180</v>
      </c>
    </row>
    <row r="274" spans="1:18" s="1" customFormat="1" ht="38.25" x14ac:dyDescent="0.2">
      <c r="A274" s="45" t="s">
        <v>892</v>
      </c>
      <c r="B274" s="57">
        <v>23757</v>
      </c>
      <c r="C274" s="50" t="s">
        <v>19</v>
      </c>
      <c r="D274" s="60" t="s">
        <v>893</v>
      </c>
      <c r="E274" s="80" t="s">
        <v>585</v>
      </c>
      <c r="F274" s="50" t="s">
        <v>167</v>
      </c>
      <c r="G274" s="60" t="s">
        <v>894</v>
      </c>
      <c r="H274" s="88">
        <f>14179+2500</f>
        <v>16679</v>
      </c>
      <c r="I274" s="88">
        <v>8640</v>
      </c>
      <c r="J274" s="89"/>
      <c r="K274" s="89">
        <v>24550</v>
      </c>
      <c r="L274" s="89">
        <f t="shared" si="8"/>
        <v>49869</v>
      </c>
      <c r="M274" s="87">
        <f t="shared" si="9"/>
        <v>49869</v>
      </c>
      <c r="N274" s="89"/>
      <c r="O274" s="89"/>
      <c r="P274" s="48">
        <v>41092</v>
      </c>
      <c r="Q274" s="48">
        <v>42215</v>
      </c>
      <c r="R274" s="61">
        <v>10177</v>
      </c>
    </row>
    <row r="275" spans="1:18" s="1" customFormat="1" ht="63.75" x14ac:dyDescent="0.2">
      <c r="A275" s="45" t="s">
        <v>895</v>
      </c>
      <c r="B275" s="57">
        <v>23898</v>
      </c>
      <c r="C275" s="50" t="s">
        <v>19</v>
      </c>
      <c r="D275" s="60" t="s">
        <v>896</v>
      </c>
      <c r="E275" s="80" t="s">
        <v>585</v>
      </c>
      <c r="F275" s="50" t="s">
        <v>121</v>
      </c>
      <c r="G275" s="60" t="s">
        <v>897</v>
      </c>
      <c r="H275" s="88">
        <f>4320+360+3200+3200+180</f>
        <v>11260</v>
      </c>
      <c r="I275" s="88"/>
      <c r="J275" s="89"/>
      <c r="K275" s="89">
        <f>3980-180</f>
        <v>3800</v>
      </c>
      <c r="L275" s="89">
        <f t="shared" si="8"/>
        <v>15060</v>
      </c>
      <c r="M275" s="87">
        <f t="shared" si="9"/>
        <v>15060</v>
      </c>
      <c r="N275" s="89"/>
      <c r="O275" s="89"/>
      <c r="P275" s="48">
        <v>41092</v>
      </c>
      <c r="Q275" s="48">
        <v>41822</v>
      </c>
      <c r="R275" s="61">
        <v>10178</v>
      </c>
    </row>
    <row r="276" spans="1:18" s="1" customFormat="1" ht="51" x14ac:dyDescent="0.2">
      <c r="A276" s="45" t="s">
        <v>898</v>
      </c>
      <c r="B276" s="45">
        <v>6678</v>
      </c>
      <c r="C276" s="50" t="s">
        <v>35</v>
      </c>
      <c r="D276" s="50" t="s">
        <v>899</v>
      </c>
      <c r="E276" s="80" t="s">
        <v>585</v>
      </c>
      <c r="F276" s="50" t="s">
        <v>87</v>
      </c>
      <c r="G276" s="60" t="s">
        <v>900</v>
      </c>
      <c r="H276" s="88">
        <f>300+1660</f>
        <v>1960</v>
      </c>
      <c r="I276" s="88">
        <v>8640</v>
      </c>
      <c r="J276" s="89"/>
      <c r="K276" s="89">
        <f>5400+1200+200</f>
        <v>6800</v>
      </c>
      <c r="L276" s="89">
        <f t="shared" si="8"/>
        <v>17400</v>
      </c>
      <c r="M276" s="87">
        <f t="shared" si="9"/>
        <v>17400</v>
      </c>
      <c r="N276" s="89"/>
      <c r="O276" s="89"/>
      <c r="P276" s="48">
        <v>41076</v>
      </c>
      <c r="Q276" s="48">
        <v>42266</v>
      </c>
      <c r="R276" s="49">
        <v>9529</v>
      </c>
    </row>
    <row r="277" spans="1:18" s="1" customFormat="1" ht="38.25" x14ac:dyDescent="0.2">
      <c r="A277" s="45" t="s">
        <v>901</v>
      </c>
      <c r="B277" s="45">
        <v>15839</v>
      </c>
      <c r="C277" s="50" t="s">
        <v>35</v>
      </c>
      <c r="D277" s="50" t="s">
        <v>902</v>
      </c>
      <c r="E277" s="80" t="s">
        <v>585</v>
      </c>
      <c r="F277" s="50" t="s">
        <v>167</v>
      </c>
      <c r="G277" s="60" t="s">
        <v>903</v>
      </c>
      <c r="H277" s="88">
        <v>22500</v>
      </c>
      <c r="I277" s="88"/>
      <c r="J277" s="89"/>
      <c r="K277" s="89">
        <v>2000</v>
      </c>
      <c r="L277" s="89">
        <f t="shared" si="8"/>
        <v>24500</v>
      </c>
      <c r="M277" s="87">
        <f t="shared" si="9"/>
        <v>24500</v>
      </c>
      <c r="N277" s="89"/>
      <c r="O277" s="89"/>
      <c r="P277" s="48">
        <v>41079</v>
      </c>
      <c r="Q277" s="48">
        <v>42813</v>
      </c>
      <c r="R277" s="49">
        <v>9548</v>
      </c>
    </row>
    <row r="278" spans="1:18" s="1" customFormat="1" ht="25.5" x14ac:dyDescent="0.2">
      <c r="A278" s="45" t="s">
        <v>904</v>
      </c>
      <c r="B278" s="45">
        <v>16265</v>
      </c>
      <c r="C278" s="50" t="s">
        <v>35</v>
      </c>
      <c r="D278" s="50" t="s">
        <v>905</v>
      </c>
      <c r="E278" s="80" t="s">
        <v>585</v>
      </c>
      <c r="F278" s="50" t="s">
        <v>167</v>
      </c>
      <c r="G278" s="60" t="s">
        <v>906</v>
      </c>
      <c r="H278" s="88">
        <v>17600</v>
      </c>
      <c r="I278" s="88">
        <v>8640</v>
      </c>
      <c r="J278" s="89"/>
      <c r="K278" s="89">
        <v>15120</v>
      </c>
      <c r="L278" s="89">
        <f t="shared" si="8"/>
        <v>41360</v>
      </c>
      <c r="M278" s="87">
        <f t="shared" si="9"/>
        <v>41360</v>
      </c>
      <c r="N278" s="89"/>
      <c r="O278" s="89"/>
      <c r="P278" s="48">
        <v>41079</v>
      </c>
      <c r="Q278" s="48">
        <v>42813</v>
      </c>
      <c r="R278" s="49">
        <v>9567</v>
      </c>
    </row>
    <row r="279" spans="1:18" s="1" customFormat="1" ht="25.5" x14ac:dyDescent="0.2">
      <c r="A279" s="45" t="s">
        <v>907</v>
      </c>
      <c r="B279" s="45">
        <v>17300</v>
      </c>
      <c r="C279" s="50" t="s">
        <v>35</v>
      </c>
      <c r="D279" s="50" t="s">
        <v>908</v>
      </c>
      <c r="E279" s="80" t="s">
        <v>585</v>
      </c>
      <c r="F279" s="50" t="s">
        <v>167</v>
      </c>
      <c r="G279" s="60" t="s">
        <v>909</v>
      </c>
      <c r="H279" s="88">
        <f>21040+708.8</f>
        <v>21748.799999999999</v>
      </c>
      <c r="I279" s="88"/>
      <c r="J279" s="89"/>
      <c r="K279" s="89">
        <f>3708.4-708.8</f>
        <v>2999.6000000000004</v>
      </c>
      <c r="L279" s="89">
        <f t="shared" si="8"/>
        <v>24748.400000000001</v>
      </c>
      <c r="M279" s="87">
        <f t="shared" si="9"/>
        <v>24748.400000000001</v>
      </c>
      <c r="N279" s="89"/>
      <c r="O279" s="89"/>
      <c r="P279" s="48">
        <v>41079</v>
      </c>
      <c r="Q279" s="48">
        <v>42813</v>
      </c>
      <c r="R279" s="49">
        <v>9569</v>
      </c>
    </row>
    <row r="280" spans="1:18" s="1" customFormat="1" ht="76.5" x14ac:dyDescent="0.2">
      <c r="A280" s="45" t="s">
        <v>910</v>
      </c>
      <c r="B280" s="45">
        <v>17403</v>
      </c>
      <c r="C280" s="50" t="s">
        <v>35</v>
      </c>
      <c r="D280" s="50" t="s">
        <v>166</v>
      </c>
      <c r="E280" s="80" t="s">
        <v>585</v>
      </c>
      <c r="F280" s="50" t="s">
        <v>167</v>
      </c>
      <c r="G280" s="60" t="s">
        <v>911</v>
      </c>
      <c r="H280" s="88">
        <v>17000</v>
      </c>
      <c r="I280" s="88"/>
      <c r="J280" s="89"/>
      <c r="K280" s="89">
        <v>83000</v>
      </c>
      <c r="L280" s="89">
        <f t="shared" si="8"/>
        <v>100000</v>
      </c>
      <c r="M280" s="87">
        <f t="shared" si="9"/>
        <v>100000</v>
      </c>
      <c r="N280" s="89"/>
      <c r="O280" s="89"/>
      <c r="P280" s="48">
        <v>41079</v>
      </c>
      <c r="Q280" s="48">
        <v>42266</v>
      </c>
      <c r="R280" s="49">
        <v>9573</v>
      </c>
    </row>
    <row r="281" spans="1:18" s="1" customFormat="1" ht="25.5" x14ac:dyDescent="0.2">
      <c r="A281" s="45" t="s">
        <v>912</v>
      </c>
      <c r="B281" s="45">
        <v>17716</v>
      </c>
      <c r="C281" s="50" t="s">
        <v>35</v>
      </c>
      <c r="D281" s="50" t="s">
        <v>913</v>
      </c>
      <c r="E281" s="80" t="s">
        <v>585</v>
      </c>
      <c r="F281" s="50" t="s">
        <v>240</v>
      </c>
      <c r="G281" s="50" t="s">
        <v>914</v>
      </c>
      <c r="H281" s="88"/>
      <c r="I281" s="88">
        <v>8640</v>
      </c>
      <c r="J281" s="89"/>
      <c r="K281" s="89">
        <f>5100</f>
        <v>5100</v>
      </c>
      <c r="L281" s="89">
        <f t="shared" si="8"/>
        <v>13740</v>
      </c>
      <c r="M281" s="87">
        <f t="shared" si="9"/>
        <v>13740</v>
      </c>
      <c r="N281" s="89"/>
      <c r="O281" s="89"/>
      <c r="P281" s="48"/>
      <c r="Q281" s="48"/>
      <c r="R281" s="49"/>
    </row>
    <row r="282" spans="1:18" s="1" customFormat="1" ht="51" x14ac:dyDescent="0.2">
      <c r="A282" s="45" t="s">
        <v>915</v>
      </c>
      <c r="B282" s="45">
        <v>18097</v>
      </c>
      <c r="C282" s="50" t="s">
        <v>35</v>
      </c>
      <c r="D282" s="50" t="s">
        <v>916</v>
      </c>
      <c r="E282" s="80" t="s">
        <v>585</v>
      </c>
      <c r="F282" s="50" t="s">
        <v>121</v>
      </c>
      <c r="G282" s="60" t="s">
        <v>917</v>
      </c>
      <c r="H282" s="88">
        <f>3840+360+1812+946+99.8</f>
        <v>7057.8</v>
      </c>
      <c r="I282" s="88">
        <v>4320</v>
      </c>
      <c r="J282" s="89"/>
      <c r="K282" s="89">
        <f>4819.8-946-99.8</f>
        <v>3774</v>
      </c>
      <c r="L282" s="89">
        <f t="shared" si="8"/>
        <v>15151.8</v>
      </c>
      <c r="M282" s="87">
        <f t="shared" si="9"/>
        <v>15151.8</v>
      </c>
      <c r="N282" s="89"/>
      <c r="O282" s="89"/>
      <c r="P282" s="48">
        <v>41079</v>
      </c>
      <c r="Q282" s="48">
        <v>42813</v>
      </c>
      <c r="R282" s="49">
        <v>9571</v>
      </c>
    </row>
    <row r="283" spans="1:18" s="1" customFormat="1" ht="38.25" x14ac:dyDescent="0.2">
      <c r="A283" s="45" t="s">
        <v>918</v>
      </c>
      <c r="B283" s="45">
        <v>18589</v>
      </c>
      <c r="C283" s="50" t="s">
        <v>35</v>
      </c>
      <c r="D283" s="50" t="s">
        <v>919</v>
      </c>
      <c r="E283" s="80" t="s">
        <v>585</v>
      </c>
      <c r="F283" s="50" t="s">
        <v>167</v>
      </c>
      <c r="G283" s="60" t="s">
        <v>920</v>
      </c>
      <c r="H283" s="88">
        <v>11020</v>
      </c>
      <c r="I283" s="88"/>
      <c r="J283" s="89"/>
      <c r="K283" s="89">
        <v>1800</v>
      </c>
      <c r="L283" s="89">
        <f t="shared" si="8"/>
        <v>12820</v>
      </c>
      <c r="M283" s="87">
        <f t="shared" si="9"/>
        <v>12820</v>
      </c>
      <c r="N283" s="89"/>
      <c r="O283" s="89"/>
      <c r="P283" s="48">
        <v>41079</v>
      </c>
      <c r="Q283" s="48">
        <v>42813</v>
      </c>
      <c r="R283" s="49">
        <v>10403</v>
      </c>
    </row>
    <row r="284" spans="1:18" s="1" customFormat="1" ht="38.25" x14ac:dyDescent="0.2">
      <c r="A284" s="45" t="s">
        <v>921</v>
      </c>
      <c r="B284" s="45">
        <v>19118</v>
      </c>
      <c r="C284" s="50" t="s">
        <v>35</v>
      </c>
      <c r="D284" s="50" t="s">
        <v>922</v>
      </c>
      <c r="E284" s="80" t="s">
        <v>585</v>
      </c>
      <c r="F284" s="50" t="s">
        <v>87</v>
      </c>
      <c r="G284" s="60" t="s">
        <v>923</v>
      </c>
      <c r="H284" s="88"/>
      <c r="I284" s="88"/>
      <c r="J284" s="89"/>
      <c r="K284" s="89">
        <v>49680</v>
      </c>
      <c r="L284" s="89">
        <f t="shared" si="8"/>
        <v>49680</v>
      </c>
      <c r="M284" s="87">
        <f t="shared" si="9"/>
        <v>49680</v>
      </c>
      <c r="N284" s="89"/>
      <c r="O284" s="89"/>
      <c r="P284" s="48">
        <v>41079</v>
      </c>
      <c r="Q284" s="48">
        <v>42813</v>
      </c>
      <c r="R284" s="49">
        <v>9596</v>
      </c>
    </row>
    <row r="285" spans="1:18" s="1" customFormat="1" ht="38.25" x14ac:dyDescent="0.2">
      <c r="A285" s="45" t="s">
        <v>924</v>
      </c>
      <c r="B285" s="45">
        <v>19179</v>
      </c>
      <c r="C285" s="50" t="s">
        <v>35</v>
      </c>
      <c r="D285" s="50" t="s">
        <v>925</v>
      </c>
      <c r="E285" s="80" t="s">
        <v>585</v>
      </c>
      <c r="F285" s="50" t="s">
        <v>26</v>
      </c>
      <c r="G285" s="50" t="s">
        <v>926</v>
      </c>
      <c r="H285" s="88">
        <f>1680+6000+6200</f>
        <v>13880</v>
      </c>
      <c r="I285" s="88"/>
      <c r="J285" s="89"/>
      <c r="K285" s="89"/>
      <c r="L285" s="89">
        <f t="shared" si="8"/>
        <v>13880</v>
      </c>
      <c r="M285" s="87">
        <f t="shared" si="9"/>
        <v>13880</v>
      </c>
      <c r="N285" s="89"/>
      <c r="O285" s="89"/>
      <c r="P285" s="48">
        <v>41079</v>
      </c>
      <c r="Q285" s="48">
        <v>42813</v>
      </c>
      <c r="R285" s="49">
        <v>9792</v>
      </c>
    </row>
    <row r="286" spans="1:18" s="1" customFormat="1" ht="38.25" x14ac:dyDescent="0.2">
      <c r="A286" s="45" t="s">
        <v>927</v>
      </c>
      <c r="B286" s="45">
        <v>19236</v>
      </c>
      <c r="C286" s="50" t="s">
        <v>35</v>
      </c>
      <c r="D286" s="50" t="s">
        <v>928</v>
      </c>
      <c r="E286" s="80" t="s">
        <v>585</v>
      </c>
      <c r="F286" s="50" t="s">
        <v>87</v>
      </c>
      <c r="G286" s="50" t="s">
        <v>929</v>
      </c>
      <c r="H286" s="88"/>
      <c r="I286" s="88"/>
      <c r="J286" s="89"/>
      <c r="K286" s="89">
        <v>24000</v>
      </c>
      <c r="L286" s="89">
        <f t="shared" si="8"/>
        <v>24000</v>
      </c>
      <c r="M286" s="87">
        <f t="shared" si="9"/>
        <v>24000</v>
      </c>
      <c r="N286" s="89"/>
      <c r="O286" s="89"/>
      <c r="P286" s="48">
        <v>41079</v>
      </c>
      <c r="Q286" s="48">
        <v>42813</v>
      </c>
      <c r="R286" s="49">
        <v>9780</v>
      </c>
    </row>
    <row r="287" spans="1:18" s="1" customFormat="1" ht="76.5" x14ac:dyDescent="0.2">
      <c r="A287" s="45" t="s">
        <v>930</v>
      </c>
      <c r="B287" s="45">
        <v>20362</v>
      </c>
      <c r="C287" s="50" t="s">
        <v>35</v>
      </c>
      <c r="D287" s="50" t="s">
        <v>931</v>
      </c>
      <c r="E287" s="80" t="s">
        <v>585</v>
      </c>
      <c r="F287" s="50" t="s">
        <v>167</v>
      </c>
      <c r="G287" s="60" t="s">
        <v>932</v>
      </c>
      <c r="H287" s="88">
        <f>960+14040</f>
        <v>15000</v>
      </c>
      <c r="I287" s="88"/>
      <c r="J287" s="89"/>
      <c r="K287" s="89"/>
      <c r="L287" s="89">
        <f t="shared" si="8"/>
        <v>15000</v>
      </c>
      <c r="M287" s="87">
        <f t="shared" si="9"/>
        <v>15000</v>
      </c>
      <c r="N287" s="89"/>
      <c r="O287" s="89"/>
      <c r="P287" s="48"/>
      <c r="Q287" s="48"/>
      <c r="R287" s="49"/>
    </row>
    <row r="288" spans="1:18" s="1" customFormat="1" ht="89.25" x14ac:dyDescent="0.2">
      <c r="A288" s="45" t="s">
        <v>933</v>
      </c>
      <c r="B288" s="45">
        <v>20467</v>
      </c>
      <c r="C288" s="50" t="s">
        <v>35</v>
      </c>
      <c r="D288" s="50" t="s">
        <v>934</v>
      </c>
      <c r="E288" s="80" t="s">
        <v>585</v>
      </c>
      <c r="F288" s="50" t="s">
        <v>94</v>
      </c>
      <c r="G288" s="60" t="s">
        <v>935</v>
      </c>
      <c r="H288" s="88">
        <v>14100</v>
      </c>
      <c r="I288" s="88"/>
      <c r="J288" s="89"/>
      <c r="K288" s="89">
        <f>10200</f>
        <v>10200</v>
      </c>
      <c r="L288" s="89">
        <f t="shared" si="8"/>
        <v>24300</v>
      </c>
      <c r="M288" s="87">
        <f t="shared" si="9"/>
        <v>24300</v>
      </c>
      <c r="N288" s="89"/>
      <c r="O288" s="89"/>
      <c r="P288" s="48">
        <v>41079</v>
      </c>
      <c r="Q288" s="48">
        <v>42813</v>
      </c>
      <c r="R288" s="49">
        <v>9791</v>
      </c>
    </row>
    <row r="289" spans="1:18" s="1" customFormat="1" ht="51" x14ac:dyDescent="0.2">
      <c r="A289" s="45" t="s">
        <v>936</v>
      </c>
      <c r="B289" s="45">
        <v>21421</v>
      </c>
      <c r="C289" s="50" t="s">
        <v>35</v>
      </c>
      <c r="D289" s="50" t="s">
        <v>937</v>
      </c>
      <c r="E289" s="80" t="s">
        <v>585</v>
      </c>
      <c r="F289" s="50" t="s">
        <v>63</v>
      </c>
      <c r="G289" s="60" t="s">
        <v>938</v>
      </c>
      <c r="H289" s="88">
        <v>21200</v>
      </c>
      <c r="I289" s="88"/>
      <c r="J289" s="89"/>
      <c r="K289" s="89">
        <v>28800</v>
      </c>
      <c r="L289" s="89">
        <f t="shared" si="8"/>
        <v>50000</v>
      </c>
      <c r="M289" s="87">
        <f t="shared" si="9"/>
        <v>50000</v>
      </c>
      <c r="N289" s="89"/>
      <c r="O289" s="89"/>
      <c r="P289" s="48">
        <v>41079</v>
      </c>
      <c r="Q289" s="48">
        <v>41809</v>
      </c>
      <c r="R289" s="49">
        <v>9540</v>
      </c>
    </row>
    <row r="290" spans="1:18" s="1" customFormat="1" ht="51" x14ac:dyDescent="0.2">
      <c r="A290" s="45" t="s">
        <v>939</v>
      </c>
      <c r="B290" s="45">
        <v>21559</v>
      </c>
      <c r="C290" s="50" t="s">
        <v>35</v>
      </c>
      <c r="D290" s="50" t="s">
        <v>940</v>
      </c>
      <c r="E290" s="80" t="s">
        <v>585</v>
      </c>
      <c r="F290" s="50" t="s">
        <v>87</v>
      </c>
      <c r="G290" s="60" t="s">
        <v>941</v>
      </c>
      <c r="H290" s="88">
        <f>630+1000+90</f>
        <v>1720</v>
      </c>
      <c r="I290" s="88">
        <v>4320</v>
      </c>
      <c r="J290" s="89"/>
      <c r="K290" s="89">
        <f>6590-90</f>
        <v>6500</v>
      </c>
      <c r="L290" s="89">
        <f t="shared" si="8"/>
        <v>12540</v>
      </c>
      <c r="M290" s="87">
        <f t="shared" si="9"/>
        <v>12540</v>
      </c>
      <c r="N290" s="89"/>
      <c r="O290" s="89"/>
      <c r="P290" s="48">
        <v>41079</v>
      </c>
      <c r="Q290" s="48">
        <v>41809</v>
      </c>
      <c r="R290" s="49">
        <v>9599</v>
      </c>
    </row>
    <row r="291" spans="1:18" s="1" customFormat="1" ht="25.5" x14ac:dyDescent="0.2">
      <c r="A291" s="45" t="s">
        <v>942</v>
      </c>
      <c r="B291" s="45">
        <v>21585</v>
      </c>
      <c r="C291" s="50" t="s">
        <v>35</v>
      </c>
      <c r="D291" s="50" t="s">
        <v>943</v>
      </c>
      <c r="E291" s="80" t="s">
        <v>585</v>
      </c>
      <c r="F291" s="50" t="s">
        <v>45</v>
      </c>
      <c r="G291" s="60" t="s">
        <v>944</v>
      </c>
      <c r="H291" s="88">
        <f>2400+3100+2400+2700+2600</f>
        <v>13200</v>
      </c>
      <c r="I291" s="88">
        <v>8640</v>
      </c>
      <c r="J291" s="89"/>
      <c r="K291" s="89">
        <v>6000</v>
      </c>
      <c r="L291" s="89">
        <f t="shared" si="8"/>
        <v>27840</v>
      </c>
      <c r="M291" s="87">
        <f t="shared" si="9"/>
        <v>27840</v>
      </c>
      <c r="N291" s="89"/>
      <c r="O291" s="89"/>
      <c r="P291" s="48">
        <v>41079</v>
      </c>
      <c r="Q291" s="48">
        <v>42266</v>
      </c>
      <c r="R291" s="49">
        <v>9550</v>
      </c>
    </row>
    <row r="292" spans="1:18" s="1" customFormat="1" ht="51" x14ac:dyDescent="0.2">
      <c r="A292" s="45" t="s">
        <v>945</v>
      </c>
      <c r="B292" s="45">
        <v>21797</v>
      </c>
      <c r="C292" s="50" t="s">
        <v>35</v>
      </c>
      <c r="D292" s="50" t="s">
        <v>946</v>
      </c>
      <c r="E292" s="80" t="s">
        <v>585</v>
      </c>
      <c r="F292" s="50" t="s">
        <v>63</v>
      </c>
      <c r="G292" s="60" t="s">
        <v>947</v>
      </c>
      <c r="H292" s="88">
        <v>25000</v>
      </c>
      <c r="I292" s="88"/>
      <c r="J292" s="89"/>
      <c r="K292" s="89"/>
      <c r="L292" s="89">
        <f t="shared" si="8"/>
        <v>25000</v>
      </c>
      <c r="M292" s="87">
        <f t="shared" si="9"/>
        <v>25000</v>
      </c>
      <c r="N292" s="89"/>
      <c r="O292" s="89"/>
      <c r="P292" s="48">
        <v>41079</v>
      </c>
      <c r="Q292" s="48">
        <v>42813</v>
      </c>
      <c r="R292" s="49">
        <v>9553</v>
      </c>
    </row>
    <row r="293" spans="1:18" s="1" customFormat="1" ht="76.5" x14ac:dyDescent="0.2">
      <c r="A293" s="45" t="s">
        <v>948</v>
      </c>
      <c r="B293" s="45">
        <v>21952</v>
      </c>
      <c r="C293" s="50" t="s">
        <v>35</v>
      </c>
      <c r="D293" s="50" t="s">
        <v>949</v>
      </c>
      <c r="E293" s="80" t="s">
        <v>585</v>
      </c>
      <c r="F293" s="50" t="s">
        <v>63</v>
      </c>
      <c r="G293" s="60" t="s">
        <v>950</v>
      </c>
      <c r="H293" s="88">
        <v>13000</v>
      </c>
      <c r="I293" s="88"/>
      <c r="J293" s="89"/>
      <c r="K293" s="89">
        <f>25000+12000</f>
        <v>37000</v>
      </c>
      <c r="L293" s="89">
        <f t="shared" si="8"/>
        <v>50000</v>
      </c>
      <c r="M293" s="87">
        <f t="shared" si="9"/>
        <v>50000</v>
      </c>
      <c r="N293" s="89"/>
      <c r="O293" s="89"/>
      <c r="P293" s="48">
        <v>41079</v>
      </c>
      <c r="Q293" s="48">
        <v>42266</v>
      </c>
      <c r="R293" s="49">
        <v>9433</v>
      </c>
    </row>
    <row r="294" spans="1:18" s="1" customFormat="1" ht="51" x14ac:dyDescent="0.2">
      <c r="A294" s="45" t="s">
        <v>951</v>
      </c>
      <c r="B294" s="45">
        <v>21966</v>
      </c>
      <c r="C294" s="50" t="s">
        <v>35</v>
      </c>
      <c r="D294" s="50" t="s">
        <v>952</v>
      </c>
      <c r="E294" s="80" t="s">
        <v>585</v>
      </c>
      <c r="F294" s="50" t="s">
        <v>240</v>
      </c>
      <c r="G294" s="60" t="s">
        <v>953</v>
      </c>
      <c r="H294" s="88">
        <f>2704+1851.72+726.28+1440</f>
        <v>6722</v>
      </c>
      <c r="I294" s="88"/>
      <c r="J294" s="89"/>
      <c r="K294" s="89">
        <v>2300</v>
      </c>
      <c r="L294" s="89">
        <f t="shared" si="8"/>
        <v>9022</v>
      </c>
      <c r="M294" s="87">
        <f t="shared" si="9"/>
        <v>9022</v>
      </c>
      <c r="N294" s="89"/>
      <c r="O294" s="89"/>
      <c r="P294" s="48">
        <v>41079</v>
      </c>
      <c r="Q294" s="48">
        <v>42813</v>
      </c>
      <c r="R294" s="49">
        <v>9554</v>
      </c>
    </row>
    <row r="295" spans="1:18" s="1" customFormat="1" ht="38.25" x14ac:dyDescent="0.2">
      <c r="A295" s="45" t="s">
        <v>954</v>
      </c>
      <c r="B295" s="45">
        <v>22138</v>
      </c>
      <c r="C295" s="50" t="s">
        <v>35</v>
      </c>
      <c r="D295" s="50" t="s">
        <v>955</v>
      </c>
      <c r="E295" s="80" t="s">
        <v>585</v>
      </c>
      <c r="F295" s="50" t="s">
        <v>94</v>
      </c>
      <c r="G295" s="60" t="s">
        <v>956</v>
      </c>
      <c r="H295" s="88">
        <v>11619.98</v>
      </c>
      <c r="I295" s="88">
        <v>4320</v>
      </c>
      <c r="J295" s="89"/>
      <c r="K295" s="89">
        <v>8990.01</v>
      </c>
      <c r="L295" s="89">
        <f t="shared" si="8"/>
        <v>24929.989999999998</v>
      </c>
      <c r="M295" s="87">
        <f t="shared" si="9"/>
        <v>24929.989999999998</v>
      </c>
      <c r="N295" s="89"/>
      <c r="O295" s="89"/>
      <c r="P295" s="48">
        <v>41079</v>
      </c>
      <c r="Q295" s="48">
        <v>42905</v>
      </c>
      <c r="R295" s="49">
        <v>9673</v>
      </c>
    </row>
    <row r="296" spans="1:18" s="1" customFormat="1" ht="38.25" x14ac:dyDescent="0.2">
      <c r="A296" s="45" t="s">
        <v>957</v>
      </c>
      <c r="B296" s="45">
        <v>22181</v>
      </c>
      <c r="C296" s="50" t="s">
        <v>35</v>
      </c>
      <c r="D296" s="50" t="s">
        <v>516</v>
      </c>
      <c r="E296" s="80" t="s">
        <v>585</v>
      </c>
      <c r="F296" s="50" t="s">
        <v>193</v>
      </c>
      <c r="G296" s="60" t="s">
        <v>958</v>
      </c>
      <c r="H296" s="88">
        <f>3060+9147.2+1524.68+6000+5400</f>
        <v>25131.88</v>
      </c>
      <c r="I296" s="88">
        <v>8640</v>
      </c>
      <c r="J296" s="89"/>
      <c r="K296" s="89">
        <v>4000</v>
      </c>
      <c r="L296" s="89">
        <f t="shared" si="8"/>
        <v>37771.880000000005</v>
      </c>
      <c r="M296" s="87">
        <f t="shared" si="9"/>
        <v>37771.880000000005</v>
      </c>
      <c r="N296" s="89"/>
      <c r="O296" s="89"/>
      <c r="P296" s="48">
        <v>41079</v>
      </c>
      <c r="Q296" s="48">
        <v>42813</v>
      </c>
      <c r="R296" s="49">
        <v>9594</v>
      </c>
    </row>
    <row r="297" spans="1:18" s="1" customFormat="1" ht="38.25" x14ac:dyDescent="0.2">
      <c r="A297" s="45" t="s">
        <v>959</v>
      </c>
      <c r="B297" s="45">
        <v>22327</v>
      </c>
      <c r="C297" s="50" t="s">
        <v>35</v>
      </c>
      <c r="D297" s="50" t="s">
        <v>960</v>
      </c>
      <c r="E297" s="80" t="s">
        <v>585</v>
      </c>
      <c r="F297" s="50" t="s">
        <v>63</v>
      </c>
      <c r="G297" s="60" t="s">
        <v>961</v>
      </c>
      <c r="H297" s="88">
        <f>22160+5000</f>
        <v>27160</v>
      </c>
      <c r="I297" s="88">
        <v>8640</v>
      </c>
      <c r="J297" s="89"/>
      <c r="K297" s="89">
        <v>13800</v>
      </c>
      <c r="L297" s="89">
        <f t="shared" si="8"/>
        <v>49600</v>
      </c>
      <c r="M297" s="87">
        <f t="shared" si="9"/>
        <v>49600</v>
      </c>
      <c r="N297" s="89"/>
      <c r="O297" s="89"/>
      <c r="P297" s="48">
        <v>41079</v>
      </c>
      <c r="Q297" s="48">
        <v>42813</v>
      </c>
      <c r="R297" s="49">
        <v>9778</v>
      </c>
    </row>
    <row r="298" spans="1:18" s="1" customFormat="1" ht="51" x14ac:dyDescent="0.2">
      <c r="A298" s="45" t="s">
        <v>962</v>
      </c>
      <c r="B298" s="45">
        <v>22364</v>
      </c>
      <c r="C298" s="50" t="s">
        <v>35</v>
      </c>
      <c r="D298" s="50" t="s">
        <v>963</v>
      </c>
      <c r="E298" s="80" t="s">
        <v>585</v>
      </c>
      <c r="F298" s="50" t="s">
        <v>63</v>
      </c>
      <c r="G298" s="60" t="s">
        <v>964</v>
      </c>
      <c r="H298" s="88">
        <v>9470</v>
      </c>
      <c r="I298" s="88"/>
      <c r="J298" s="89"/>
      <c r="K298" s="89">
        <v>5500</v>
      </c>
      <c r="L298" s="89">
        <f t="shared" si="8"/>
        <v>14970</v>
      </c>
      <c r="M298" s="87">
        <f t="shared" si="9"/>
        <v>14970</v>
      </c>
      <c r="N298" s="89"/>
      <c r="O298" s="89"/>
      <c r="P298" s="48">
        <v>41092</v>
      </c>
      <c r="Q298" s="48">
        <v>42279</v>
      </c>
      <c r="R298" s="61">
        <v>10143</v>
      </c>
    </row>
    <row r="299" spans="1:18" s="1" customFormat="1" ht="51" x14ac:dyDescent="0.2">
      <c r="A299" s="45" t="s">
        <v>965</v>
      </c>
      <c r="B299" s="45">
        <v>22421</v>
      </c>
      <c r="C299" s="50" t="s">
        <v>35</v>
      </c>
      <c r="D299" s="50" t="s">
        <v>966</v>
      </c>
      <c r="E299" s="80" t="s">
        <v>585</v>
      </c>
      <c r="F299" s="50" t="s">
        <v>71</v>
      </c>
      <c r="G299" s="60" t="s">
        <v>967</v>
      </c>
      <c r="H299" s="88">
        <f>720+4950</f>
        <v>5670</v>
      </c>
      <c r="I299" s="88"/>
      <c r="J299" s="89"/>
      <c r="K299" s="89">
        <v>42572</v>
      </c>
      <c r="L299" s="89">
        <f t="shared" si="8"/>
        <v>48242</v>
      </c>
      <c r="M299" s="87">
        <f t="shared" si="9"/>
        <v>48242</v>
      </c>
      <c r="N299" s="89"/>
      <c r="O299" s="89"/>
      <c r="P299" s="48">
        <v>41079</v>
      </c>
      <c r="Q299" s="48">
        <v>42266</v>
      </c>
      <c r="R299" s="49">
        <v>9464</v>
      </c>
    </row>
    <row r="300" spans="1:18" s="1" customFormat="1" ht="63.75" x14ac:dyDescent="0.2">
      <c r="A300" s="45" t="s">
        <v>968</v>
      </c>
      <c r="B300" s="45">
        <v>22451</v>
      </c>
      <c r="C300" s="50" t="s">
        <v>35</v>
      </c>
      <c r="D300" s="50" t="s">
        <v>969</v>
      </c>
      <c r="E300" s="80" t="s">
        <v>585</v>
      </c>
      <c r="F300" s="50" t="s">
        <v>94</v>
      </c>
      <c r="G300" s="60" t="s">
        <v>970</v>
      </c>
      <c r="H300" s="88">
        <v>15000</v>
      </c>
      <c r="I300" s="88"/>
      <c r="J300" s="89"/>
      <c r="K300" s="89"/>
      <c r="L300" s="89">
        <f t="shared" si="8"/>
        <v>15000</v>
      </c>
      <c r="M300" s="87">
        <f t="shared" si="9"/>
        <v>15000</v>
      </c>
      <c r="N300" s="89"/>
      <c r="O300" s="89"/>
      <c r="P300" s="48">
        <v>41079</v>
      </c>
      <c r="Q300" s="48">
        <v>42266</v>
      </c>
      <c r="R300" s="49">
        <v>9737</v>
      </c>
    </row>
    <row r="301" spans="1:18" s="1" customFormat="1" ht="63.75" x14ac:dyDescent="0.2">
      <c r="A301" s="45" t="s">
        <v>971</v>
      </c>
      <c r="B301" s="45">
        <v>22562</v>
      </c>
      <c r="C301" s="50" t="s">
        <v>35</v>
      </c>
      <c r="D301" s="50" t="s">
        <v>972</v>
      </c>
      <c r="E301" s="80" t="s">
        <v>585</v>
      </c>
      <c r="F301" s="50" t="s">
        <v>94</v>
      </c>
      <c r="G301" s="60" t="s">
        <v>973</v>
      </c>
      <c r="H301" s="88">
        <f>8640+21920+6800</f>
        <v>37360</v>
      </c>
      <c r="I301" s="88">
        <v>8640</v>
      </c>
      <c r="J301" s="89"/>
      <c r="K301" s="89">
        <v>4000</v>
      </c>
      <c r="L301" s="89">
        <f t="shared" si="8"/>
        <v>50000</v>
      </c>
      <c r="M301" s="87">
        <f t="shared" si="9"/>
        <v>50000</v>
      </c>
      <c r="N301" s="89"/>
      <c r="O301" s="89"/>
      <c r="P301" s="48" t="s">
        <v>974</v>
      </c>
      <c r="Q301" s="48">
        <v>42813</v>
      </c>
      <c r="R301" s="49">
        <v>9536</v>
      </c>
    </row>
    <row r="302" spans="1:18" s="1" customFormat="1" ht="51" x14ac:dyDescent="0.2">
      <c r="A302" s="45" t="s">
        <v>975</v>
      </c>
      <c r="B302" s="45">
        <v>22610</v>
      </c>
      <c r="C302" s="50" t="s">
        <v>35</v>
      </c>
      <c r="D302" s="50" t="s">
        <v>976</v>
      </c>
      <c r="E302" s="80" t="s">
        <v>585</v>
      </c>
      <c r="F302" s="50" t="s">
        <v>63</v>
      </c>
      <c r="G302" s="60" t="s">
        <v>977</v>
      </c>
      <c r="H302" s="88">
        <f>2400+10500+1000+1980</f>
        <v>15880</v>
      </c>
      <c r="I302" s="88">
        <v>4320</v>
      </c>
      <c r="J302" s="89"/>
      <c r="K302" s="89">
        <v>4800</v>
      </c>
      <c r="L302" s="89">
        <f t="shared" si="8"/>
        <v>25000</v>
      </c>
      <c r="M302" s="87">
        <f t="shared" si="9"/>
        <v>25000</v>
      </c>
      <c r="N302" s="89"/>
      <c r="O302" s="89"/>
      <c r="P302" s="48">
        <v>41079</v>
      </c>
      <c r="Q302" s="48">
        <v>42813</v>
      </c>
      <c r="R302" s="49">
        <v>9545</v>
      </c>
    </row>
    <row r="303" spans="1:18" s="1" customFormat="1" ht="51" x14ac:dyDescent="0.2">
      <c r="A303" s="45" t="s">
        <v>978</v>
      </c>
      <c r="B303" s="45">
        <v>22633</v>
      </c>
      <c r="C303" s="50" t="s">
        <v>35</v>
      </c>
      <c r="D303" s="50" t="s">
        <v>979</v>
      </c>
      <c r="E303" s="80" t="s">
        <v>585</v>
      </c>
      <c r="F303" s="50" t="s">
        <v>94</v>
      </c>
      <c r="G303" s="60" t="s">
        <v>980</v>
      </c>
      <c r="H303" s="88">
        <f>4200+16680.7+20254</f>
        <v>41134.699999999997</v>
      </c>
      <c r="I303" s="88"/>
      <c r="J303" s="89"/>
      <c r="K303" s="89">
        <v>2050</v>
      </c>
      <c r="L303" s="89">
        <f t="shared" si="8"/>
        <v>43184.7</v>
      </c>
      <c r="M303" s="87">
        <f t="shared" si="9"/>
        <v>43184.7</v>
      </c>
      <c r="N303" s="89"/>
      <c r="O303" s="89"/>
      <c r="P303" s="48">
        <v>41079</v>
      </c>
      <c r="Q303" s="48">
        <v>42813</v>
      </c>
      <c r="R303" s="49">
        <v>9466</v>
      </c>
    </row>
    <row r="304" spans="1:18" s="1" customFormat="1" ht="51" x14ac:dyDescent="0.2">
      <c r="A304" s="45" t="s">
        <v>981</v>
      </c>
      <c r="B304" s="45">
        <v>22648</v>
      </c>
      <c r="C304" s="50" t="s">
        <v>35</v>
      </c>
      <c r="D304" s="50" t="s">
        <v>982</v>
      </c>
      <c r="E304" s="80" t="s">
        <v>585</v>
      </c>
      <c r="F304" s="50" t="s">
        <v>94</v>
      </c>
      <c r="G304" s="60" t="s">
        <v>983</v>
      </c>
      <c r="H304" s="88">
        <f>5500+2000</f>
        <v>7500</v>
      </c>
      <c r="I304" s="88"/>
      <c r="J304" s="89"/>
      <c r="K304" s="89">
        <v>14080</v>
      </c>
      <c r="L304" s="89">
        <f t="shared" si="8"/>
        <v>21580</v>
      </c>
      <c r="M304" s="87">
        <f t="shared" si="9"/>
        <v>21580</v>
      </c>
      <c r="N304" s="89"/>
      <c r="O304" s="89"/>
      <c r="P304" s="48">
        <v>41079</v>
      </c>
      <c r="Q304" s="48">
        <v>42266</v>
      </c>
      <c r="R304" s="49">
        <v>9491</v>
      </c>
    </row>
    <row r="305" spans="1:18" s="1" customFormat="1" ht="38.25" x14ac:dyDescent="0.2">
      <c r="A305" s="45" t="s">
        <v>984</v>
      </c>
      <c r="B305" s="45">
        <v>22652</v>
      </c>
      <c r="C305" s="50" t="s">
        <v>35</v>
      </c>
      <c r="D305" s="50" t="s">
        <v>985</v>
      </c>
      <c r="E305" s="80" t="s">
        <v>585</v>
      </c>
      <c r="F305" s="50" t="s">
        <v>22</v>
      </c>
      <c r="G305" s="60" t="s">
        <v>986</v>
      </c>
      <c r="H305" s="88">
        <f>4800+6000+8000</f>
        <v>18800</v>
      </c>
      <c r="I305" s="88"/>
      <c r="J305" s="89"/>
      <c r="K305" s="89">
        <f>700+500+3600</f>
        <v>4800</v>
      </c>
      <c r="L305" s="89">
        <f t="shared" si="8"/>
        <v>23600</v>
      </c>
      <c r="M305" s="87">
        <f t="shared" si="9"/>
        <v>23600</v>
      </c>
      <c r="N305" s="89"/>
      <c r="O305" s="89"/>
      <c r="P305" s="48">
        <v>41079</v>
      </c>
      <c r="Q305" s="48">
        <v>42813</v>
      </c>
      <c r="R305" s="49">
        <v>9495</v>
      </c>
    </row>
    <row r="306" spans="1:18" s="1" customFormat="1" ht="63.75" x14ac:dyDescent="0.2">
      <c r="A306" s="45" t="s">
        <v>987</v>
      </c>
      <c r="B306" s="45">
        <v>22691</v>
      </c>
      <c r="C306" s="50" t="s">
        <v>35</v>
      </c>
      <c r="D306" s="50" t="s">
        <v>988</v>
      </c>
      <c r="E306" s="80" t="s">
        <v>585</v>
      </c>
      <c r="F306" s="50" t="s">
        <v>167</v>
      </c>
      <c r="G306" s="60" t="s">
        <v>989</v>
      </c>
      <c r="H306" s="88">
        <f>12100+4000</f>
        <v>16100</v>
      </c>
      <c r="I306" s="88"/>
      <c r="J306" s="89"/>
      <c r="K306" s="89">
        <v>33825</v>
      </c>
      <c r="L306" s="89">
        <f t="shared" si="8"/>
        <v>49925</v>
      </c>
      <c r="M306" s="87">
        <f t="shared" si="9"/>
        <v>49925</v>
      </c>
      <c r="N306" s="89"/>
      <c r="O306" s="89"/>
      <c r="P306" s="48">
        <v>41079</v>
      </c>
      <c r="Q306" s="48">
        <v>42813</v>
      </c>
      <c r="R306" s="49">
        <v>9525</v>
      </c>
    </row>
    <row r="307" spans="1:18" s="1" customFormat="1" ht="25.5" x14ac:dyDescent="0.2">
      <c r="A307" s="45" t="s">
        <v>990</v>
      </c>
      <c r="B307" s="45">
        <v>22700</v>
      </c>
      <c r="C307" s="50" t="s">
        <v>35</v>
      </c>
      <c r="D307" s="50" t="s">
        <v>991</v>
      </c>
      <c r="E307" s="80" t="s">
        <v>585</v>
      </c>
      <c r="F307" s="50" t="s">
        <v>193</v>
      </c>
      <c r="G307" s="60" t="s">
        <v>992</v>
      </c>
      <c r="H307" s="88">
        <f>4800+7040</f>
        <v>11840</v>
      </c>
      <c r="I307" s="88"/>
      <c r="J307" s="89"/>
      <c r="K307" s="89">
        <v>10099.98</v>
      </c>
      <c r="L307" s="89">
        <f t="shared" si="8"/>
        <v>21939.98</v>
      </c>
      <c r="M307" s="87">
        <f t="shared" si="9"/>
        <v>21939.98</v>
      </c>
      <c r="N307" s="89"/>
      <c r="O307" s="89"/>
      <c r="P307" s="48">
        <v>41079</v>
      </c>
      <c r="Q307" s="48">
        <v>42813</v>
      </c>
      <c r="R307" s="49">
        <v>9522</v>
      </c>
    </row>
    <row r="308" spans="1:18" s="1" customFormat="1" ht="38.25" x14ac:dyDescent="0.2">
      <c r="A308" s="45" t="s">
        <v>993</v>
      </c>
      <c r="B308" s="45">
        <v>22717</v>
      </c>
      <c r="C308" s="50" t="s">
        <v>35</v>
      </c>
      <c r="D308" s="50" t="s">
        <v>519</v>
      </c>
      <c r="E308" s="80" t="s">
        <v>585</v>
      </c>
      <c r="F308" s="50" t="s">
        <v>26</v>
      </c>
      <c r="G308" s="60" t="s">
        <v>994</v>
      </c>
      <c r="H308" s="88">
        <f>2750</f>
        <v>2750</v>
      </c>
      <c r="I308" s="88">
        <v>8640</v>
      </c>
      <c r="J308" s="89"/>
      <c r="K308" s="89">
        <f>160+500+800+1800</f>
        <v>3260</v>
      </c>
      <c r="L308" s="89">
        <f t="shared" si="8"/>
        <v>14650</v>
      </c>
      <c r="M308" s="87">
        <f t="shared" si="9"/>
        <v>14650</v>
      </c>
      <c r="N308" s="89"/>
      <c r="O308" s="89"/>
      <c r="P308" s="48">
        <v>41079</v>
      </c>
      <c r="Q308" s="48">
        <v>42813</v>
      </c>
      <c r="R308" s="49">
        <v>9488</v>
      </c>
    </row>
    <row r="309" spans="1:18" s="1" customFormat="1" ht="51" x14ac:dyDescent="0.2">
      <c r="A309" s="45" t="s">
        <v>995</v>
      </c>
      <c r="B309" s="45">
        <v>22719</v>
      </c>
      <c r="C309" s="50" t="s">
        <v>35</v>
      </c>
      <c r="D309" s="50" t="s">
        <v>996</v>
      </c>
      <c r="E309" s="80" t="s">
        <v>585</v>
      </c>
      <c r="F309" s="50" t="s">
        <v>167</v>
      </c>
      <c r="G309" s="60" t="s">
        <v>997</v>
      </c>
      <c r="H309" s="88">
        <f>3000+10000+3000+2000</f>
        <v>18000</v>
      </c>
      <c r="I309" s="88"/>
      <c r="J309" s="89"/>
      <c r="K309" s="89">
        <f>1800</f>
        <v>1800</v>
      </c>
      <c r="L309" s="89">
        <f t="shared" si="8"/>
        <v>19800</v>
      </c>
      <c r="M309" s="87">
        <f t="shared" si="9"/>
        <v>19800</v>
      </c>
      <c r="N309" s="89"/>
      <c r="O309" s="89"/>
      <c r="P309" s="48">
        <v>41079</v>
      </c>
      <c r="Q309" s="48">
        <v>42813</v>
      </c>
      <c r="R309" s="49">
        <v>9457</v>
      </c>
    </row>
    <row r="310" spans="1:18" s="1" customFormat="1" ht="76.5" x14ac:dyDescent="0.2">
      <c r="A310" s="45" t="s">
        <v>998</v>
      </c>
      <c r="B310" s="45">
        <v>22757</v>
      </c>
      <c r="C310" s="50" t="s">
        <v>35</v>
      </c>
      <c r="D310" s="50" t="s">
        <v>999</v>
      </c>
      <c r="E310" s="80" t="s">
        <v>585</v>
      </c>
      <c r="F310" s="50" t="s">
        <v>87</v>
      </c>
      <c r="G310" s="60" t="s">
        <v>1000</v>
      </c>
      <c r="H310" s="88">
        <v>19981.189999999999</v>
      </c>
      <c r="I310" s="88"/>
      <c r="J310" s="89"/>
      <c r="K310" s="89">
        <v>30000</v>
      </c>
      <c r="L310" s="89">
        <f t="shared" si="8"/>
        <v>49981.19</v>
      </c>
      <c r="M310" s="87">
        <f t="shared" si="9"/>
        <v>49981.19</v>
      </c>
      <c r="N310" s="89"/>
      <c r="O310" s="89"/>
      <c r="P310" s="48">
        <v>41079</v>
      </c>
      <c r="Q310" s="48">
        <v>42813</v>
      </c>
      <c r="R310" s="49">
        <v>9583</v>
      </c>
    </row>
    <row r="311" spans="1:18" s="1" customFormat="1" ht="63.75" x14ac:dyDescent="0.2">
      <c r="A311" s="45" t="s">
        <v>1001</v>
      </c>
      <c r="B311" s="45">
        <v>22850</v>
      </c>
      <c r="C311" s="50" t="s">
        <v>35</v>
      </c>
      <c r="D311" s="50" t="s">
        <v>1002</v>
      </c>
      <c r="E311" s="80" t="s">
        <v>585</v>
      </c>
      <c r="F311" s="50" t="s">
        <v>109</v>
      </c>
      <c r="G311" s="60" t="s">
        <v>1003</v>
      </c>
      <c r="H311" s="88">
        <f>1200+5170+1260+1800</f>
        <v>9430</v>
      </c>
      <c r="I311" s="88"/>
      <c r="J311" s="89"/>
      <c r="K311" s="89">
        <v>12500</v>
      </c>
      <c r="L311" s="89">
        <f t="shared" si="8"/>
        <v>21930</v>
      </c>
      <c r="M311" s="87">
        <f t="shared" si="9"/>
        <v>21930</v>
      </c>
      <c r="N311" s="89"/>
      <c r="O311" s="89"/>
      <c r="P311" s="48">
        <v>41079</v>
      </c>
      <c r="Q311" s="48">
        <v>42813</v>
      </c>
      <c r="R311" s="49">
        <v>9476</v>
      </c>
    </row>
    <row r="312" spans="1:18" s="1" customFormat="1" ht="25.5" x14ac:dyDescent="0.2">
      <c r="A312" s="45" t="s">
        <v>1004</v>
      </c>
      <c r="B312" s="45">
        <v>22954</v>
      </c>
      <c r="C312" s="50" t="s">
        <v>35</v>
      </c>
      <c r="D312" s="50" t="s">
        <v>1005</v>
      </c>
      <c r="E312" s="80" t="s">
        <v>585</v>
      </c>
      <c r="F312" s="50" t="s">
        <v>167</v>
      </c>
      <c r="G312" s="60" t="s">
        <v>1006</v>
      </c>
      <c r="H312" s="88">
        <f>8851.25+780</f>
        <v>9631.25</v>
      </c>
      <c r="I312" s="88"/>
      <c r="J312" s="89"/>
      <c r="K312" s="89">
        <v>15300</v>
      </c>
      <c r="L312" s="89">
        <f t="shared" si="8"/>
        <v>24931.25</v>
      </c>
      <c r="M312" s="87">
        <f t="shared" si="9"/>
        <v>24931.25</v>
      </c>
      <c r="N312" s="89"/>
      <c r="O312" s="89"/>
      <c r="P312" s="48">
        <v>41079</v>
      </c>
      <c r="Q312" s="48">
        <v>42266</v>
      </c>
      <c r="R312" s="49">
        <v>9812</v>
      </c>
    </row>
    <row r="313" spans="1:18" s="1" customFormat="1" ht="38.25" x14ac:dyDescent="0.2">
      <c r="A313" s="45" t="s">
        <v>1007</v>
      </c>
      <c r="B313" s="45">
        <v>23031</v>
      </c>
      <c r="C313" s="50" t="s">
        <v>35</v>
      </c>
      <c r="D313" s="50" t="s">
        <v>1008</v>
      </c>
      <c r="E313" s="80" t="s">
        <v>585</v>
      </c>
      <c r="F313" s="50" t="s">
        <v>94</v>
      </c>
      <c r="G313" s="60" t="s">
        <v>1009</v>
      </c>
      <c r="H313" s="88">
        <v>4850</v>
      </c>
      <c r="I313" s="88"/>
      <c r="J313" s="89"/>
      <c r="K313" s="89">
        <v>20100</v>
      </c>
      <c r="L313" s="89">
        <f t="shared" si="8"/>
        <v>24950</v>
      </c>
      <c r="M313" s="87">
        <f t="shared" si="9"/>
        <v>24950</v>
      </c>
      <c r="N313" s="89"/>
      <c r="O313" s="89"/>
      <c r="P313" s="48">
        <v>41079</v>
      </c>
      <c r="Q313" s="48">
        <v>42266</v>
      </c>
      <c r="R313" s="49">
        <v>9803</v>
      </c>
    </row>
    <row r="314" spans="1:18" s="1" customFormat="1" ht="63.75" x14ac:dyDescent="0.2">
      <c r="A314" s="45" t="s">
        <v>1010</v>
      </c>
      <c r="B314" s="45">
        <v>23134</v>
      </c>
      <c r="C314" s="50" t="s">
        <v>35</v>
      </c>
      <c r="D314" s="50" t="s">
        <v>1011</v>
      </c>
      <c r="E314" s="80" t="s">
        <v>585</v>
      </c>
      <c r="F314" s="50" t="s">
        <v>109</v>
      </c>
      <c r="G314" s="60" t="s">
        <v>1012</v>
      </c>
      <c r="H314" s="88">
        <v>11500</v>
      </c>
      <c r="I314" s="88"/>
      <c r="J314" s="89"/>
      <c r="K314" s="89">
        <v>38500</v>
      </c>
      <c r="L314" s="89">
        <f t="shared" si="8"/>
        <v>50000</v>
      </c>
      <c r="M314" s="87">
        <f t="shared" si="9"/>
        <v>50000</v>
      </c>
      <c r="N314" s="89"/>
      <c r="O314" s="89"/>
      <c r="P314" s="48">
        <v>41079</v>
      </c>
      <c r="Q314" s="48">
        <v>42723</v>
      </c>
      <c r="R314" s="49">
        <v>9801</v>
      </c>
    </row>
    <row r="315" spans="1:18" s="1" customFormat="1" ht="38.25" x14ac:dyDescent="0.2">
      <c r="A315" s="45" t="s">
        <v>1013</v>
      </c>
      <c r="B315" s="45">
        <v>23156</v>
      </c>
      <c r="C315" s="50" t="s">
        <v>35</v>
      </c>
      <c r="D315" s="50" t="s">
        <v>1014</v>
      </c>
      <c r="E315" s="80" t="s">
        <v>585</v>
      </c>
      <c r="F315" s="50" t="s">
        <v>240</v>
      </c>
      <c r="G315" s="60" t="s">
        <v>1015</v>
      </c>
      <c r="H315" s="88">
        <f>906.5+720+2523</f>
        <v>4149.5</v>
      </c>
      <c r="I315" s="88"/>
      <c r="J315" s="89"/>
      <c r="K315" s="89">
        <v>10496.5</v>
      </c>
      <c r="L315" s="89">
        <f t="shared" si="8"/>
        <v>14646</v>
      </c>
      <c r="M315" s="87">
        <f t="shared" si="9"/>
        <v>14646</v>
      </c>
      <c r="N315" s="89"/>
      <c r="O315" s="89"/>
      <c r="P315" s="48"/>
      <c r="Q315" s="48"/>
      <c r="R315" s="49"/>
    </row>
    <row r="316" spans="1:18" s="1" customFormat="1" ht="51" x14ac:dyDescent="0.2">
      <c r="A316" s="45" t="s">
        <v>1016</v>
      </c>
      <c r="B316" s="45">
        <v>23207</v>
      </c>
      <c r="C316" s="50" t="s">
        <v>35</v>
      </c>
      <c r="D316" s="50" t="s">
        <v>1017</v>
      </c>
      <c r="E316" s="80" t="s">
        <v>585</v>
      </c>
      <c r="F316" s="50" t="s">
        <v>94</v>
      </c>
      <c r="G316" s="60" t="s">
        <v>1018</v>
      </c>
      <c r="H316" s="88">
        <v>8000</v>
      </c>
      <c r="I316" s="88"/>
      <c r="J316" s="89"/>
      <c r="K316" s="89">
        <v>17000</v>
      </c>
      <c r="L316" s="89">
        <f t="shared" si="8"/>
        <v>25000</v>
      </c>
      <c r="M316" s="87">
        <f t="shared" si="9"/>
        <v>25000</v>
      </c>
      <c r="N316" s="89"/>
      <c r="O316" s="89"/>
      <c r="P316" s="48">
        <v>41079</v>
      </c>
      <c r="Q316" s="48">
        <v>42813</v>
      </c>
      <c r="R316" s="49">
        <v>9799</v>
      </c>
    </row>
    <row r="317" spans="1:18" s="1" customFormat="1" ht="63.75" x14ac:dyDescent="0.2">
      <c r="A317" s="45" t="s">
        <v>1019</v>
      </c>
      <c r="B317" s="45">
        <v>23239</v>
      </c>
      <c r="C317" s="50" t="s">
        <v>35</v>
      </c>
      <c r="D317" s="50" t="s">
        <v>1020</v>
      </c>
      <c r="E317" s="80" t="s">
        <v>585</v>
      </c>
      <c r="F317" s="50" t="s">
        <v>87</v>
      </c>
      <c r="G317" s="60" t="s">
        <v>1021</v>
      </c>
      <c r="H317" s="88">
        <f>1500+5000</f>
        <v>6500</v>
      </c>
      <c r="I317" s="88">
        <v>8640</v>
      </c>
      <c r="J317" s="89"/>
      <c r="K317" s="89">
        <f>35900-1500</f>
        <v>34400</v>
      </c>
      <c r="L317" s="89">
        <f t="shared" si="8"/>
        <v>49540</v>
      </c>
      <c r="M317" s="87">
        <f t="shared" si="9"/>
        <v>49540</v>
      </c>
      <c r="N317" s="89"/>
      <c r="O317" s="89"/>
      <c r="P317" s="48">
        <v>41079</v>
      </c>
      <c r="Q317" s="48">
        <v>42813</v>
      </c>
      <c r="R317" s="49">
        <v>9798</v>
      </c>
    </row>
    <row r="318" spans="1:18" s="1" customFormat="1" ht="63.75" x14ac:dyDescent="0.2">
      <c r="A318" s="45" t="s">
        <v>1022</v>
      </c>
      <c r="B318" s="45">
        <v>23251</v>
      </c>
      <c r="C318" s="50" t="s">
        <v>35</v>
      </c>
      <c r="D318" s="50" t="s">
        <v>1023</v>
      </c>
      <c r="E318" s="80" t="s">
        <v>585</v>
      </c>
      <c r="F318" s="50" t="s">
        <v>71</v>
      </c>
      <c r="G318" s="60" t="s">
        <v>1024</v>
      </c>
      <c r="H318" s="88">
        <v>23800</v>
      </c>
      <c r="I318" s="88"/>
      <c r="J318" s="89"/>
      <c r="K318" s="89">
        <v>26200</v>
      </c>
      <c r="L318" s="89">
        <f t="shared" si="8"/>
        <v>50000</v>
      </c>
      <c r="M318" s="87">
        <f t="shared" si="9"/>
        <v>50000</v>
      </c>
      <c r="N318" s="89"/>
      <c r="O318" s="89"/>
      <c r="P318" s="48">
        <v>41079</v>
      </c>
      <c r="Q318" s="48">
        <v>42266</v>
      </c>
      <c r="R318" s="49">
        <v>9811</v>
      </c>
    </row>
    <row r="319" spans="1:18" s="1" customFormat="1" ht="76.5" x14ac:dyDescent="0.2">
      <c r="A319" s="45" t="s">
        <v>1025</v>
      </c>
      <c r="B319" s="45">
        <v>23265</v>
      </c>
      <c r="C319" s="50" t="s">
        <v>35</v>
      </c>
      <c r="D319" s="50" t="s">
        <v>1026</v>
      </c>
      <c r="E319" s="80" t="s">
        <v>585</v>
      </c>
      <c r="F319" s="50" t="s">
        <v>167</v>
      </c>
      <c r="G319" s="60" t="s">
        <v>1027</v>
      </c>
      <c r="H319" s="88">
        <f>15462+7210</f>
        <v>22672</v>
      </c>
      <c r="I319" s="88"/>
      <c r="J319" s="89"/>
      <c r="K319" s="89">
        <v>27328</v>
      </c>
      <c r="L319" s="89">
        <f t="shared" si="8"/>
        <v>50000</v>
      </c>
      <c r="M319" s="87">
        <f t="shared" si="9"/>
        <v>50000</v>
      </c>
      <c r="N319" s="89"/>
      <c r="O319" s="89"/>
      <c r="P319" s="48">
        <v>41079</v>
      </c>
      <c r="Q319" s="48">
        <v>42813</v>
      </c>
      <c r="R319" s="49">
        <v>9781</v>
      </c>
    </row>
    <row r="320" spans="1:18" s="1" customFormat="1" ht="38.25" x14ac:dyDescent="0.2">
      <c r="A320" s="45" t="s">
        <v>1028</v>
      </c>
      <c r="B320" s="45">
        <v>23275</v>
      </c>
      <c r="C320" s="50" t="s">
        <v>35</v>
      </c>
      <c r="D320" s="50" t="s">
        <v>1029</v>
      </c>
      <c r="E320" s="80" t="s">
        <v>585</v>
      </c>
      <c r="F320" s="50" t="s">
        <v>63</v>
      </c>
      <c r="G320" s="60" t="s">
        <v>1030</v>
      </c>
      <c r="H320" s="88">
        <v>15000</v>
      </c>
      <c r="I320" s="88"/>
      <c r="J320" s="89"/>
      <c r="K320" s="89"/>
      <c r="L320" s="89">
        <f t="shared" si="8"/>
        <v>15000</v>
      </c>
      <c r="M320" s="87">
        <f t="shared" si="9"/>
        <v>15000</v>
      </c>
      <c r="N320" s="89"/>
      <c r="O320" s="89"/>
      <c r="P320" s="48">
        <v>41079</v>
      </c>
      <c r="Q320" s="48">
        <v>42813</v>
      </c>
      <c r="R320" s="49">
        <v>9795</v>
      </c>
    </row>
    <row r="321" spans="1:18" s="1" customFormat="1" ht="51" x14ac:dyDescent="0.2">
      <c r="A321" s="45" t="s">
        <v>1031</v>
      </c>
      <c r="B321" s="45">
        <v>23293</v>
      </c>
      <c r="C321" s="50" t="s">
        <v>35</v>
      </c>
      <c r="D321" s="50" t="s">
        <v>1032</v>
      </c>
      <c r="E321" s="80" t="s">
        <v>585</v>
      </c>
      <c r="F321" s="50" t="s">
        <v>71</v>
      </c>
      <c r="G321" s="60" t="s">
        <v>1033</v>
      </c>
      <c r="H321" s="88">
        <v>6400</v>
      </c>
      <c r="I321" s="88"/>
      <c r="J321" s="89"/>
      <c r="K321" s="89">
        <v>18600</v>
      </c>
      <c r="L321" s="89">
        <f t="shared" si="8"/>
        <v>25000</v>
      </c>
      <c r="M321" s="87">
        <f t="shared" si="9"/>
        <v>25000</v>
      </c>
      <c r="N321" s="89"/>
      <c r="O321" s="89"/>
      <c r="P321" s="48">
        <v>41079</v>
      </c>
      <c r="Q321" s="48">
        <v>42813</v>
      </c>
      <c r="R321" s="49">
        <v>9519</v>
      </c>
    </row>
    <row r="322" spans="1:18" s="1" customFormat="1" ht="38.25" x14ac:dyDescent="0.2">
      <c r="A322" s="45" t="s">
        <v>1034</v>
      </c>
      <c r="B322" s="45">
        <v>23334</v>
      </c>
      <c r="C322" s="50" t="s">
        <v>35</v>
      </c>
      <c r="D322" s="50" t="s">
        <v>461</v>
      </c>
      <c r="E322" s="80" t="s">
        <v>585</v>
      </c>
      <c r="F322" s="50" t="s">
        <v>87</v>
      </c>
      <c r="G322" s="60" t="s">
        <v>1035</v>
      </c>
      <c r="H322" s="88">
        <v>8400</v>
      </c>
      <c r="I322" s="88"/>
      <c r="J322" s="89"/>
      <c r="K322" s="89">
        <v>41600</v>
      </c>
      <c r="L322" s="89">
        <f t="shared" si="8"/>
        <v>50000</v>
      </c>
      <c r="M322" s="87">
        <f t="shared" si="9"/>
        <v>50000</v>
      </c>
      <c r="N322" s="89"/>
      <c r="O322" s="89"/>
      <c r="P322" s="48">
        <v>41079</v>
      </c>
      <c r="Q322" s="48">
        <v>42813</v>
      </c>
      <c r="R322" s="49">
        <v>9804</v>
      </c>
    </row>
    <row r="323" spans="1:18" s="1" customFormat="1" ht="51" x14ac:dyDescent="0.2">
      <c r="A323" s="45" t="s">
        <v>1036</v>
      </c>
      <c r="B323" s="45">
        <v>23335</v>
      </c>
      <c r="C323" s="50" t="s">
        <v>35</v>
      </c>
      <c r="D323" s="50" t="s">
        <v>1037</v>
      </c>
      <c r="E323" s="80" t="s">
        <v>585</v>
      </c>
      <c r="F323" s="81" t="s">
        <v>63</v>
      </c>
      <c r="G323" s="60" t="s">
        <v>1038</v>
      </c>
      <c r="H323" s="88"/>
      <c r="I323" s="88"/>
      <c r="J323" s="89"/>
      <c r="K323" s="89">
        <v>44000</v>
      </c>
      <c r="L323" s="89">
        <f t="shared" si="8"/>
        <v>44000</v>
      </c>
      <c r="M323" s="87">
        <f t="shared" si="9"/>
        <v>44000</v>
      </c>
      <c r="N323" s="89"/>
      <c r="O323" s="89"/>
      <c r="P323" s="48">
        <v>41079</v>
      </c>
      <c r="Q323" s="48">
        <v>42813</v>
      </c>
      <c r="R323" s="49">
        <v>9785</v>
      </c>
    </row>
    <row r="324" spans="1:18" s="1" customFormat="1" ht="38.25" x14ac:dyDescent="0.2">
      <c r="A324" s="45" t="s">
        <v>1039</v>
      </c>
      <c r="B324" s="45">
        <v>23419</v>
      </c>
      <c r="C324" s="50" t="s">
        <v>35</v>
      </c>
      <c r="D324" s="50" t="s">
        <v>1040</v>
      </c>
      <c r="E324" s="80" t="s">
        <v>585</v>
      </c>
      <c r="F324" s="50" t="s">
        <v>63</v>
      </c>
      <c r="G324" s="60" t="s">
        <v>1041</v>
      </c>
      <c r="H324" s="88">
        <v>7000</v>
      </c>
      <c r="I324" s="88"/>
      <c r="J324" s="89"/>
      <c r="K324" s="89">
        <v>8000</v>
      </c>
      <c r="L324" s="89">
        <f t="shared" si="8"/>
        <v>15000</v>
      </c>
      <c r="M324" s="87">
        <f t="shared" si="9"/>
        <v>15000</v>
      </c>
      <c r="N324" s="89"/>
      <c r="O324" s="89"/>
      <c r="P324" s="48">
        <v>41079</v>
      </c>
      <c r="Q324" s="48">
        <v>42905</v>
      </c>
      <c r="R324" s="49">
        <v>9794</v>
      </c>
    </row>
    <row r="325" spans="1:18" s="1" customFormat="1" ht="51" x14ac:dyDescent="0.2">
      <c r="A325" s="45" t="s">
        <v>1042</v>
      </c>
      <c r="B325" s="45">
        <v>23541</v>
      </c>
      <c r="C325" s="50" t="s">
        <v>35</v>
      </c>
      <c r="D325" s="50" t="s">
        <v>1043</v>
      </c>
      <c r="E325" s="80" t="s">
        <v>585</v>
      </c>
      <c r="F325" s="50" t="s">
        <v>240</v>
      </c>
      <c r="G325" s="60" t="s">
        <v>1044</v>
      </c>
      <c r="H325" s="88">
        <f>13570+5400+10000</f>
        <v>28970</v>
      </c>
      <c r="I325" s="88"/>
      <c r="J325" s="89"/>
      <c r="K325" s="89">
        <v>17200</v>
      </c>
      <c r="L325" s="89">
        <f t="shared" si="8"/>
        <v>46170</v>
      </c>
      <c r="M325" s="87">
        <f t="shared" si="9"/>
        <v>46170</v>
      </c>
      <c r="N325" s="89"/>
      <c r="O325" s="89"/>
      <c r="P325" s="48">
        <v>41079</v>
      </c>
      <c r="Q325" s="48">
        <v>42813</v>
      </c>
      <c r="R325" s="49">
        <v>9813</v>
      </c>
    </row>
    <row r="326" spans="1:18" s="1" customFormat="1" ht="51" x14ac:dyDescent="0.2">
      <c r="A326" s="45" t="s">
        <v>1045</v>
      </c>
      <c r="B326" s="45">
        <v>23108</v>
      </c>
      <c r="C326" s="50" t="s">
        <v>457</v>
      </c>
      <c r="D326" s="50" t="s">
        <v>1046</v>
      </c>
      <c r="E326" s="80" t="s">
        <v>585</v>
      </c>
      <c r="F326" s="50" t="s">
        <v>63</v>
      </c>
      <c r="G326" s="60" t="s">
        <v>1047</v>
      </c>
      <c r="H326" s="88">
        <f>33400+12028.5</f>
        <v>45428.5</v>
      </c>
      <c r="I326" s="88"/>
      <c r="J326" s="89"/>
      <c r="K326" s="89">
        <v>4000</v>
      </c>
      <c r="L326" s="89">
        <f t="shared" si="8"/>
        <v>49428.5</v>
      </c>
      <c r="M326" s="87">
        <f t="shared" si="9"/>
        <v>49428.5</v>
      </c>
      <c r="N326" s="89"/>
      <c r="O326" s="89"/>
      <c r="P326" s="48">
        <v>41087</v>
      </c>
      <c r="Q326" s="48">
        <v>42090</v>
      </c>
      <c r="R326" s="49">
        <v>10338</v>
      </c>
    </row>
    <row r="327" spans="1:18" s="1" customFormat="1" ht="51" x14ac:dyDescent="0.2">
      <c r="A327" s="45" t="s">
        <v>1048</v>
      </c>
      <c r="B327" s="45">
        <v>19971</v>
      </c>
      <c r="C327" s="50" t="s">
        <v>414</v>
      </c>
      <c r="D327" s="50" t="s">
        <v>1049</v>
      </c>
      <c r="E327" s="80" t="s">
        <v>585</v>
      </c>
      <c r="F327" s="50" t="s">
        <v>121</v>
      </c>
      <c r="G327" s="60" t="s">
        <v>1050</v>
      </c>
      <c r="H327" s="88">
        <f>3600+744+3948</f>
        <v>8292</v>
      </c>
      <c r="I327" s="88"/>
      <c r="J327" s="89"/>
      <c r="K327" s="89">
        <v>1908</v>
      </c>
      <c r="L327" s="89">
        <f t="shared" ref="L327:L390" si="10">H327+I327+J327+K327</f>
        <v>10200</v>
      </c>
      <c r="M327" s="87">
        <f t="shared" ref="M327:M390" si="11">SUM(L327)</f>
        <v>10200</v>
      </c>
      <c r="N327" s="89"/>
      <c r="O327" s="89"/>
      <c r="P327" s="48">
        <v>41078</v>
      </c>
      <c r="Q327" s="48">
        <v>41808</v>
      </c>
      <c r="R327" s="49">
        <v>9927</v>
      </c>
    </row>
    <row r="328" spans="1:18" s="1" customFormat="1" ht="38.25" x14ac:dyDescent="0.2">
      <c r="A328" s="45" t="s">
        <v>1051</v>
      </c>
      <c r="B328" s="45">
        <v>16414</v>
      </c>
      <c r="C328" s="50" t="s">
        <v>1052</v>
      </c>
      <c r="D328" s="50" t="s">
        <v>1053</v>
      </c>
      <c r="E328" s="80" t="s">
        <v>585</v>
      </c>
      <c r="F328" s="50" t="s">
        <v>109</v>
      </c>
      <c r="G328" s="60" t="s">
        <v>1054</v>
      </c>
      <c r="H328" s="88"/>
      <c r="I328" s="88"/>
      <c r="J328" s="89"/>
      <c r="K328" s="89">
        <v>15000</v>
      </c>
      <c r="L328" s="89">
        <f t="shared" si="10"/>
        <v>15000</v>
      </c>
      <c r="M328" s="87">
        <f t="shared" si="11"/>
        <v>15000</v>
      </c>
      <c r="N328" s="89"/>
      <c r="O328" s="89"/>
      <c r="P328" s="48">
        <v>41078</v>
      </c>
      <c r="Q328" s="48">
        <v>42904</v>
      </c>
      <c r="R328" s="49">
        <v>9928</v>
      </c>
    </row>
    <row r="329" spans="1:18" s="1" customFormat="1" ht="38.25" x14ac:dyDescent="0.2">
      <c r="A329" s="45" t="s">
        <v>1055</v>
      </c>
      <c r="B329" s="45">
        <v>19471</v>
      </c>
      <c r="C329" s="50" t="s">
        <v>1052</v>
      </c>
      <c r="D329" s="50" t="s">
        <v>1056</v>
      </c>
      <c r="E329" s="80" t="s">
        <v>585</v>
      </c>
      <c r="F329" s="50" t="s">
        <v>22</v>
      </c>
      <c r="G329" s="60" t="s">
        <v>1057</v>
      </c>
      <c r="H329" s="88">
        <v>4180</v>
      </c>
      <c r="I329" s="88">
        <v>8640</v>
      </c>
      <c r="J329" s="89"/>
      <c r="K329" s="89">
        <v>3360</v>
      </c>
      <c r="L329" s="89">
        <f t="shared" si="10"/>
        <v>16180</v>
      </c>
      <c r="M329" s="87">
        <f t="shared" si="11"/>
        <v>16180</v>
      </c>
      <c r="N329" s="89"/>
      <c r="O329" s="89"/>
      <c r="P329" s="48">
        <v>41078</v>
      </c>
      <c r="Q329" s="48">
        <v>41808</v>
      </c>
      <c r="R329" s="49">
        <v>9879</v>
      </c>
    </row>
    <row r="330" spans="1:18" s="1" customFormat="1" ht="25.5" x14ac:dyDescent="0.2">
      <c r="A330" s="45" t="s">
        <v>1058</v>
      </c>
      <c r="B330" s="45">
        <v>19473</v>
      </c>
      <c r="C330" s="50" t="s">
        <v>1052</v>
      </c>
      <c r="D330" s="50" t="s">
        <v>1059</v>
      </c>
      <c r="E330" s="80" t="s">
        <v>585</v>
      </c>
      <c r="F330" s="50" t="s">
        <v>109</v>
      </c>
      <c r="G330" s="60" t="s">
        <v>1060</v>
      </c>
      <c r="H330" s="88">
        <f>1500+5356+1500</f>
        <v>8356</v>
      </c>
      <c r="I330" s="88"/>
      <c r="J330" s="89"/>
      <c r="K330" s="89">
        <v>5500</v>
      </c>
      <c r="L330" s="89">
        <f t="shared" si="10"/>
        <v>13856</v>
      </c>
      <c r="M330" s="87">
        <f t="shared" si="11"/>
        <v>13856</v>
      </c>
      <c r="N330" s="89"/>
      <c r="O330" s="89"/>
      <c r="P330" s="48">
        <v>41078</v>
      </c>
      <c r="Q330" s="48">
        <v>42904</v>
      </c>
      <c r="R330" s="49">
        <v>9930</v>
      </c>
    </row>
    <row r="331" spans="1:18" s="1" customFormat="1" ht="51" x14ac:dyDescent="0.2">
      <c r="A331" s="45" t="s">
        <v>1061</v>
      </c>
      <c r="B331" s="45">
        <v>18485</v>
      </c>
      <c r="C331" s="50" t="s">
        <v>319</v>
      </c>
      <c r="D331" s="50" t="s">
        <v>1062</v>
      </c>
      <c r="E331" s="80" t="s">
        <v>585</v>
      </c>
      <c r="F331" s="50" t="s">
        <v>63</v>
      </c>
      <c r="G331" s="60" t="s">
        <v>1063</v>
      </c>
      <c r="H331" s="88">
        <v>24985</v>
      </c>
      <c r="I331" s="88"/>
      <c r="J331" s="89"/>
      <c r="K331" s="89"/>
      <c r="L331" s="89">
        <f t="shared" si="10"/>
        <v>24985</v>
      </c>
      <c r="M331" s="87">
        <f t="shared" si="11"/>
        <v>24985</v>
      </c>
      <c r="N331" s="89"/>
      <c r="O331" s="89"/>
      <c r="P331" s="48">
        <v>41124</v>
      </c>
      <c r="Q331" s="48">
        <v>42311</v>
      </c>
      <c r="R331" s="49">
        <v>10931</v>
      </c>
    </row>
    <row r="332" spans="1:18" s="1" customFormat="1" ht="38.25" x14ac:dyDescent="0.2">
      <c r="A332" s="45" t="s">
        <v>1064</v>
      </c>
      <c r="B332" s="45">
        <v>18597</v>
      </c>
      <c r="C332" s="50" t="s">
        <v>319</v>
      </c>
      <c r="D332" s="50" t="s">
        <v>1065</v>
      </c>
      <c r="E332" s="80" t="s">
        <v>585</v>
      </c>
      <c r="F332" s="50" t="s">
        <v>94</v>
      </c>
      <c r="G332" s="60" t="s">
        <v>1066</v>
      </c>
      <c r="H332" s="88">
        <v>25000</v>
      </c>
      <c r="I332" s="88"/>
      <c r="J332" s="89"/>
      <c r="K332" s="89"/>
      <c r="L332" s="89">
        <f t="shared" si="10"/>
        <v>25000</v>
      </c>
      <c r="M332" s="87">
        <f t="shared" si="11"/>
        <v>25000</v>
      </c>
      <c r="N332" s="89"/>
      <c r="O332" s="89"/>
      <c r="P332" s="48">
        <v>41124</v>
      </c>
      <c r="Q332" s="48">
        <v>42160</v>
      </c>
      <c r="R332" s="49">
        <v>10932</v>
      </c>
    </row>
    <row r="333" spans="1:18" s="1" customFormat="1" ht="25.5" x14ac:dyDescent="0.2">
      <c r="A333" s="45" t="s">
        <v>1067</v>
      </c>
      <c r="B333" s="45">
        <v>20299</v>
      </c>
      <c r="C333" s="50" t="s">
        <v>319</v>
      </c>
      <c r="D333" s="50" t="s">
        <v>320</v>
      </c>
      <c r="E333" s="80" t="s">
        <v>585</v>
      </c>
      <c r="F333" s="50" t="s">
        <v>94</v>
      </c>
      <c r="G333" s="60" t="s">
        <v>1068</v>
      </c>
      <c r="H333" s="88">
        <f>91000+9000</f>
        <v>100000</v>
      </c>
      <c r="I333" s="88"/>
      <c r="J333" s="89"/>
      <c r="K333" s="89"/>
      <c r="L333" s="89">
        <f t="shared" si="10"/>
        <v>100000</v>
      </c>
      <c r="M333" s="87">
        <f t="shared" si="11"/>
        <v>100000</v>
      </c>
      <c r="N333" s="89"/>
      <c r="O333" s="89"/>
      <c r="P333" s="48">
        <v>41124</v>
      </c>
      <c r="Q333" s="48">
        <v>42855</v>
      </c>
      <c r="R333" s="49">
        <v>10938</v>
      </c>
    </row>
    <row r="334" spans="1:18" s="1" customFormat="1" ht="38.25" x14ac:dyDescent="0.2">
      <c r="A334" s="45" t="s">
        <v>1069</v>
      </c>
      <c r="B334" s="45">
        <v>22502</v>
      </c>
      <c r="C334" s="50" t="s">
        <v>319</v>
      </c>
      <c r="D334" s="50" t="s">
        <v>1070</v>
      </c>
      <c r="E334" s="80" t="s">
        <v>585</v>
      </c>
      <c r="F334" s="50" t="s">
        <v>63</v>
      </c>
      <c r="G334" s="60" t="s">
        <v>1071</v>
      </c>
      <c r="H334" s="88">
        <v>44890</v>
      </c>
      <c r="I334" s="88"/>
      <c r="J334" s="89"/>
      <c r="K334" s="89"/>
      <c r="L334" s="89">
        <f t="shared" si="10"/>
        <v>44890</v>
      </c>
      <c r="M334" s="87">
        <f t="shared" si="11"/>
        <v>44890</v>
      </c>
      <c r="N334" s="89"/>
      <c r="O334" s="89"/>
      <c r="P334" s="48">
        <v>41124</v>
      </c>
      <c r="Q334" s="48">
        <v>41854</v>
      </c>
      <c r="R334" s="49">
        <v>10933</v>
      </c>
    </row>
    <row r="335" spans="1:18" s="1" customFormat="1" ht="51" x14ac:dyDescent="0.2">
      <c r="A335" s="45" t="s">
        <v>1072</v>
      </c>
      <c r="B335" s="45">
        <v>23152</v>
      </c>
      <c r="C335" s="50" t="s">
        <v>113</v>
      </c>
      <c r="D335" s="50" t="s">
        <v>1073</v>
      </c>
      <c r="E335" s="80" t="s">
        <v>585</v>
      </c>
      <c r="F335" s="50" t="s">
        <v>71</v>
      </c>
      <c r="G335" s="50" t="s">
        <v>1074</v>
      </c>
      <c r="H335" s="88">
        <f>1500+1990+500</f>
        <v>3990</v>
      </c>
      <c r="I335" s="88">
        <v>8640</v>
      </c>
      <c r="J335" s="89"/>
      <c r="K335" s="89">
        <v>9000</v>
      </c>
      <c r="L335" s="89">
        <f t="shared" si="10"/>
        <v>21630</v>
      </c>
      <c r="M335" s="87">
        <f t="shared" si="11"/>
        <v>21630</v>
      </c>
      <c r="N335" s="89"/>
      <c r="O335" s="89"/>
      <c r="P335" s="48">
        <v>41079</v>
      </c>
      <c r="Q335" s="48">
        <v>42357</v>
      </c>
      <c r="R335" s="49">
        <v>9469</v>
      </c>
    </row>
    <row r="336" spans="1:18" s="1" customFormat="1" ht="25.5" x14ac:dyDescent="0.2">
      <c r="A336" s="45" t="s">
        <v>1075</v>
      </c>
      <c r="B336" s="45">
        <v>23466</v>
      </c>
      <c r="C336" s="50" t="s">
        <v>113</v>
      </c>
      <c r="D336" s="50" t="s">
        <v>1076</v>
      </c>
      <c r="E336" s="80" t="s">
        <v>585</v>
      </c>
      <c r="F336" s="50" t="s">
        <v>63</v>
      </c>
      <c r="G336" s="60" t="s">
        <v>1077</v>
      </c>
      <c r="H336" s="88">
        <f>96+565+410</f>
        <v>1071</v>
      </c>
      <c r="I336" s="88">
        <v>4320</v>
      </c>
      <c r="J336" s="89"/>
      <c r="K336" s="89"/>
      <c r="L336" s="89">
        <f t="shared" si="10"/>
        <v>5391</v>
      </c>
      <c r="M336" s="87">
        <f t="shared" si="11"/>
        <v>5391</v>
      </c>
      <c r="N336" s="89"/>
      <c r="O336" s="89"/>
      <c r="P336" s="48">
        <v>41085</v>
      </c>
      <c r="Q336" s="48">
        <v>41815</v>
      </c>
      <c r="R336" s="61">
        <v>10094</v>
      </c>
    </row>
    <row r="337" spans="1:18" s="1" customFormat="1" ht="51" x14ac:dyDescent="0.2">
      <c r="A337" s="45" t="s">
        <v>1078</v>
      </c>
      <c r="B337" s="45">
        <v>23573</v>
      </c>
      <c r="C337" s="50" t="s">
        <v>113</v>
      </c>
      <c r="D337" s="50" t="s">
        <v>1079</v>
      </c>
      <c r="E337" s="80" t="s">
        <v>585</v>
      </c>
      <c r="F337" s="50" t="s">
        <v>22</v>
      </c>
      <c r="G337" s="60" t="s">
        <v>1080</v>
      </c>
      <c r="H337" s="88">
        <f>560+825+1400</f>
        <v>2785</v>
      </c>
      <c r="I337" s="88">
        <v>8640</v>
      </c>
      <c r="J337" s="89"/>
      <c r="K337" s="89"/>
      <c r="L337" s="89">
        <f t="shared" si="10"/>
        <v>11425</v>
      </c>
      <c r="M337" s="87">
        <f t="shared" si="11"/>
        <v>11425</v>
      </c>
      <c r="N337" s="89"/>
      <c r="O337" s="89"/>
      <c r="P337" s="48">
        <v>41079</v>
      </c>
      <c r="Q337" s="48">
        <v>42082</v>
      </c>
      <c r="R337" s="49">
        <v>9472</v>
      </c>
    </row>
    <row r="338" spans="1:18" s="1" customFormat="1" ht="38.25" x14ac:dyDescent="0.2">
      <c r="A338" s="45" t="s">
        <v>1081</v>
      </c>
      <c r="B338" s="45">
        <v>18708</v>
      </c>
      <c r="C338" s="50" t="s">
        <v>349</v>
      </c>
      <c r="D338" s="50" t="s">
        <v>1082</v>
      </c>
      <c r="E338" s="80" t="s">
        <v>585</v>
      </c>
      <c r="F338" s="50" t="s">
        <v>87</v>
      </c>
      <c r="G338" s="60" t="s">
        <v>1083</v>
      </c>
      <c r="H338" s="88">
        <f>4000</f>
        <v>4000</v>
      </c>
      <c r="I338" s="88">
        <v>4320</v>
      </c>
      <c r="J338" s="89"/>
      <c r="K338" s="89">
        <v>2900</v>
      </c>
      <c r="L338" s="89">
        <f t="shared" si="10"/>
        <v>11220</v>
      </c>
      <c r="M338" s="87">
        <f t="shared" si="11"/>
        <v>11220</v>
      </c>
      <c r="N338" s="89"/>
      <c r="O338" s="89"/>
      <c r="P338" s="48">
        <v>41218</v>
      </c>
      <c r="Q338" s="48">
        <v>42343</v>
      </c>
      <c r="R338" s="49">
        <v>11981</v>
      </c>
    </row>
    <row r="339" spans="1:18" s="1" customFormat="1" ht="51" x14ac:dyDescent="0.2">
      <c r="A339" s="45" t="s">
        <v>1084</v>
      </c>
      <c r="B339" s="45">
        <v>22743</v>
      </c>
      <c r="C339" s="50" t="s">
        <v>478</v>
      </c>
      <c r="D339" s="50" t="s">
        <v>1085</v>
      </c>
      <c r="E339" s="80" t="s">
        <v>585</v>
      </c>
      <c r="F339" s="50" t="s">
        <v>109</v>
      </c>
      <c r="G339" s="50" t="s">
        <v>1086</v>
      </c>
      <c r="H339" s="88">
        <v>9400</v>
      </c>
      <c r="I339" s="88"/>
      <c r="J339" s="89"/>
      <c r="K339" s="89">
        <v>15600</v>
      </c>
      <c r="L339" s="89">
        <f t="shared" si="10"/>
        <v>25000</v>
      </c>
      <c r="M339" s="87">
        <f t="shared" si="11"/>
        <v>25000</v>
      </c>
      <c r="N339" s="89"/>
      <c r="O339" s="89"/>
      <c r="P339" s="48">
        <v>41079</v>
      </c>
      <c r="Q339" s="48">
        <v>41809</v>
      </c>
      <c r="R339" s="61">
        <v>10134</v>
      </c>
    </row>
    <row r="340" spans="1:18" s="1" customFormat="1" ht="63.75" x14ac:dyDescent="0.2">
      <c r="A340" s="45" t="s">
        <v>1087</v>
      </c>
      <c r="B340" s="45">
        <v>23078</v>
      </c>
      <c r="C340" s="50" t="s">
        <v>478</v>
      </c>
      <c r="D340" s="50" t="s">
        <v>1088</v>
      </c>
      <c r="E340" s="80" t="s">
        <v>585</v>
      </c>
      <c r="F340" s="50" t="s">
        <v>71</v>
      </c>
      <c r="G340" s="60" t="s">
        <v>1089</v>
      </c>
      <c r="H340" s="88">
        <v>1922.57</v>
      </c>
      <c r="I340" s="88">
        <v>4320</v>
      </c>
      <c r="J340" s="89"/>
      <c r="K340" s="89">
        <v>8725</v>
      </c>
      <c r="L340" s="89">
        <f t="shared" si="10"/>
        <v>14967.57</v>
      </c>
      <c r="M340" s="87">
        <f t="shared" si="11"/>
        <v>14967.57</v>
      </c>
      <c r="N340" s="89"/>
      <c r="O340" s="89"/>
      <c r="P340" s="48">
        <v>41079</v>
      </c>
      <c r="Q340" s="48">
        <v>42082</v>
      </c>
      <c r="R340" s="61">
        <v>10129</v>
      </c>
    </row>
    <row r="341" spans="1:18" s="1" customFormat="1" ht="38.25" x14ac:dyDescent="0.2">
      <c r="A341" s="45" t="s">
        <v>1090</v>
      </c>
      <c r="B341" s="45">
        <v>23102</v>
      </c>
      <c r="C341" s="50" t="s">
        <v>478</v>
      </c>
      <c r="D341" s="50" t="s">
        <v>1091</v>
      </c>
      <c r="E341" s="80" t="s">
        <v>585</v>
      </c>
      <c r="F341" s="50" t="s">
        <v>22</v>
      </c>
      <c r="G341" s="60" t="s">
        <v>1092</v>
      </c>
      <c r="H341" s="88">
        <f>500+500</f>
        <v>1000</v>
      </c>
      <c r="I341" s="88">
        <v>4320</v>
      </c>
      <c r="J341" s="89"/>
      <c r="K341" s="89">
        <f>3600</f>
        <v>3600</v>
      </c>
      <c r="L341" s="89">
        <f t="shared" si="10"/>
        <v>8920</v>
      </c>
      <c r="M341" s="87">
        <f t="shared" si="11"/>
        <v>8920</v>
      </c>
      <c r="N341" s="89"/>
      <c r="O341" s="89"/>
      <c r="P341" s="48">
        <v>41079</v>
      </c>
      <c r="Q341" s="48">
        <v>41809</v>
      </c>
      <c r="R341" s="61">
        <v>10142</v>
      </c>
    </row>
    <row r="342" spans="1:18" s="1" customFormat="1" ht="38.25" x14ac:dyDescent="0.2">
      <c r="A342" s="45" t="s">
        <v>1093</v>
      </c>
      <c r="B342" s="45">
        <v>23732</v>
      </c>
      <c r="C342" s="50" t="s">
        <v>478</v>
      </c>
      <c r="D342" s="50" t="s">
        <v>1094</v>
      </c>
      <c r="E342" s="80" t="s">
        <v>585</v>
      </c>
      <c r="F342" s="50" t="s">
        <v>22</v>
      </c>
      <c r="G342" s="60" t="s">
        <v>1095</v>
      </c>
      <c r="H342" s="88"/>
      <c r="I342" s="88">
        <v>4320</v>
      </c>
      <c r="J342" s="89"/>
      <c r="K342" s="89">
        <v>8968</v>
      </c>
      <c r="L342" s="89">
        <f t="shared" si="10"/>
        <v>13288</v>
      </c>
      <c r="M342" s="87">
        <f t="shared" si="11"/>
        <v>13288</v>
      </c>
      <c r="N342" s="89"/>
      <c r="O342" s="89"/>
      <c r="P342" s="48" t="s">
        <v>1096</v>
      </c>
      <c r="Q342" s="48">
        <v>41809</v>
      </c>
      <c r="R342" s="61">
        <v>10140</v>
      </c>
    </row>
    <row r="343" spans="1:18" s="1" customFormat="1" ht="25.5" x14ac:dyDescent="0.2">
      <c r="A343" s="45" t="s">
        <v>1097</v>
      </c>
      <c r="B343" s="45">
        <v>22752</v>
      </c>
      <c r="C343" s="50" t="s">
        <v>231</v>
      </c>
      <c r="D343" s="50" t="s">
        <v>1098</v>
      </c>
      <c r="E343" s="80" t="s">
        <v>585</v>
      </c>
      <c r="F343" s="50" t="s">
        <v>167</v>
      </c>
      <c r="G343" s="60" t="s">
        <v>1099</v>
      </c>
      <c r="H343" s="88">
        <f>3087+2700</f>
        <v>5787</v>
      </c>
      <c r="I343" s="88">
        <v>8640</v>
      </c>
      <c r="J343" s="89"/>
      <c r="K343" s="89">
        <v>34305</v>
      </c>
      <c r="L343" s="89">
        <f t="shared" si="10"/>
        <v>48732</v>
      </c>
      <c r="M343" s="87">
        <f t="shared" si="11"/>
        <v>48732</v>
      </c>
      <c r="N343" s="89"/>
      <c r="O343" s="89"/>
      <c r="P343" s="48">
        <v>41079</v>
      </c>
      <c r="Q343" s="48">
        <v>41809</v>
      </c>
      <c r="R343" s="49">
        <v>9728</v>
      </c>
    </row>
    <row r="344" spans="1:18" s="1" customFormat="1" ht="38.25" x14ac:dyDescent="0.2">
      <c r="A344" s="45" t="s">
        <v>1100</v>
      </c>
      <c r="B344" s="45">
        <v>22817</v>
      </c>
      <c r="C344" s="50" t="s">
        <v>231</v>
      </c>
      <c r="D344" s="50" t="s">
        <v>1101</v>
      </c>
      <c r="E344" s="80" t="s">
        <v>585</v>
      </c>
      <c r="F344" s="50" t="s">
        <v>63</v>
      </c>
      <c r="G344" s="60" t="s">
        <v>1102</v>
      </c>
      <c r="H344" s="88">
        <f>2880+1220+2400</f>
        <v>6500</v>
      </c>
      <c r="I344" s="88">
        <v>8640</v>
      </c>
      <c r="J344" s="89"/>
      <c r="K344" s="89"/>
      <c r="L344" s="89">
        <f t="shared" si="10"/>
        <v>15140</v>
      </c>
      <c r="M344" s="87">
        <f t="shared" si="11"/>
        <v>15140</v>
      </c>
      <c r="N344" s="89"/>
      <c r="O344" s="89"/>
      <c r="P344" s="48">
        <v>41079</v>
      </c>
      <c r="Q344" s="48">
        <v>41809</v>
      </c>
      <c r="R344" s="49">
        <v>9759</v>
      </c>
    </row>
    <row r="345" spans="1:18" s="1" customFormat="1" ht="51" x14ac:dyDescent="0.2">
      <c r="A345" s="45" t="s">
        <v>1103</v>
      </c>
      <c r="B345" s="45">
        <v>23177</v>
      </c>
      <c r="C345" s="50" t="s">
        <v>231</v>
      </c>
      <c r="D345" s="50" t="s">
        <v>1104</v>
      </c>
      <c r="E345" s="80" t="s">
        <v>585</v>
      </c>
      <c r="F345" s="50" t="s">
        <v>167</v>
      </c>
      <c r="G345" s="60" t="s">
        <v>1105</v>
      </c>
      <c r="H345" s="88">
        <f>6000+2774+4785</f>
        <v>13559</v>
      </c>
      <c r="I345" s="88"/>
      <c r="J345" s="89"/>
      <c r="K345" s="89">
        <v>11440</v>
      </c>
      <c r="L345" s="89">
        <f t="shared" si="10"/>
        <v>24999</v>
      </c>
      <c r="M345" s="87">
        <f t="shared" si="11"/>
        <v>24999</v>
      </c>
      <c r="N345" s="89"/>
      <c r="O345" s="89"/>
      <c r="P345" s="48">
        <v>41079</v>
      </c>
      <c r="Q345" s="48">
        <v>42023</v>
      </c>
      <c r="R345" s="49">
        <v>9741</v>
      </c>
    </row>
    <row r="346" spans="1:18" s="1" customFormat="1" ht="51" x14ac:dyDescent="0.2">
      <c r="A346" s="45" t="s">
        <v>1106</v>
      </c>
      <c r="B346" s="45">
        <v>23372</v>
      </c>
      <c r="C346" s="50" t="s">
        <v>212</v>
      </c>
      <c r="D346" s="50" t="s">
        <v>1107</v>
      </c>
      <c r="E346" s="80" t="s">
        <v>585</v>
      </c>
      <c r="F346" s="50" t="s">
        <v>26</v>
      </c>
      <c r="G346" s="60" t="s">
        <v>1108</v>
      </c>
      <c r="H346" s="88">
        <f>9600+2400+4800+12000</f>
        <v>28800</v>
      </c>
      <c r="I346" s="88">
        <v>8640</v>
      </c>
      <c r="J346" s="89"/>
      <c r="K346" s="89">
        <f>1500+500+600+1800+3600+2000+200+600</f>
        <v>10800</v>
      </c>
      <c r="L346" s="89">
        <f t="shared" si="10"/>
        <v>48240</v>
      </c>
      <c r="M346" s="87">
        <f t="shared" si="11"/>
        <v>48240</v>
      </c>
      <c r="N346" s="89"/>
      <c r="O346" s="89"/>
      <c r="P346" s="48">
        <v>41078</v>
      </c>
      <c r="Q346" s="48">
        <v>42265</v>
      </c>
      <c r="R346" s="49">
        <v>9827</v>
      </c>
    </row>
    <row r="347" spans="1:18" s="1" customFormat="1" ht="38.25" x14ac:dyDescent="0.2">
      <c r="A347" s="45" t="s">
        <v>1109</v>
      </c>
      <c r="B347" s="45">
        <v>12678</v>
      </c>
      <c r="C347" s="50" t="s">
        <v>212</v>
      </c>
      <c r="D347" s="50" t="s">
        <v>1110</v>
      </c>
      <c r="E347" s="80" t="s">
        <v>585</v>
      </c>
      <c r="F347" s="50" t="s">
        <v>71</v>
      </c>
      <c r="G347" s="60" t="s">
        <v>1111</v>
      </c>
      <c r="H347" s="88"/>
      <c r="I347" s="88"/>
      <c r="J347" s="89"/>
      <c r="K347" s="89">
        <v>7350</v>
      </c>
      <c r="L347" s="89">
        <f t="shared" si="10"/>
        <v>7350</v>
      </c>
      <c r="M347" s="87">
        <f t="shared" si="11"/>
        <v>7350</v>
      </c>
      <c r="N347" s="89"/>
      <c r="O347" s="89"/>
      <c r="P347" s="48">
        <v>41078</v>
      </c>
      <c r="Q347" s="48">
        <v>41808</v>
      </c>
      <c r="R347" s="49">
        <v>9824</v>
      </c>
    </row>
    <row r="348" spans="1:18" s="1" customFormat="1" ht="25.5" x14ac:dyDescent="0.2">
      <c r="A348" s="45" t="s">
        <v>1112</v>
      </c>
      <c r="B348" s="45">
        <v>10404</v>
      </c>
      <c r="C348" s="50" t="s">
        <v>212</v>
      </c>
      <c r="D348" s="50" t="s">
        <v>1113</v>
      </c>
      <c r="E348" s="80" t="s">
        <v>585</v>
      </c>
      <c r="F348" s="50" t="s">
        <v>71</v>
      </c>
      <c r="G348" s="60" t="s">
        <v>1114</v>
      </c>
      <c r="H348" s="88">
        <f>5000+7200</f>
        <v>12200</v>
      </c>
      <c r="I348" s="88">
        <v>8640</v>
      </c>
      <c r="J348" s="89"/>
      <c r="K348" s="89">
        <v>24000</v>
      </c>
      <c r="L348" s="89">
        <f t="shared" si="10"/>
        <v>44840</v>
      </c>
      <c r="M348" s="87">
        <f t="shared" si="11"/>
        <v>44840</v>
      </c>
      <c r="N348" s="89"/>
      <c r="O348" s="89"/>
      <c r="P348" s="48">
        <v>41078</v>
      </c>
      <c r="Q348" s="48">
        <v>42063</v>
      </c>
      <c r="R348" s="49">
        <v>9825</v>
      </c>
    </row>
    <row r="349" spans="1:18" s="1" customFormat="1" ht="25.5" x14ac:dyDescent="0.2">
      <c r="A349" s="45" t="s">
        <v>1115</v>
      </c>
      <c r="B349" s="45">
        <v>9724</v>
      </c>
      <c r="C349" s="50" t="s">
        <v>212</v>
      </c>
      <c r="D349" s="50" t="s">
        <v>1116</v>
      </c>
      <c r="E349" s="80" t="s">
        <v>585</v>
      </c>
      <c r="F349" s="50" t="s">
        <v>71</v>
      </c>
      <c r="G349" s="60" t="s">
        <v>1117</v>
      </c>
      <c r="H349" s="88"/>
      <c r="I349" s="88"/>
      <c r="J349" s="89"/>
      <c r="K349" s="89">
        <v>50000</v>
      </c>
      <c r="L349" s="89">
        <f t="shared" si="10"/>
        <v>50000</v>
      </c>
      <c r="M349" s="87">
        <f t="shared" si="11"/>
        <v>50000</v>
      </c>
      <c r="N349" s="89"/>
      <c r="O349" s="89"/>
      <c r="P349" s="48">
        <v>41078</v>
      </c>
      <c r="Q349" s="48" t="s">
        <v>1118</v>
      </c>
      <c r="R349" s="49">
        <v>9814</v>
      </c>
    </row>
    <row r="350" spans="1:18" s="1" customFormat="1" ht="51" x14ac:dyDescent="0.2">
      <c r="A350" s="45" t="s">
        <v>1119</v>
      </c>
      <c r="B350" s="45">
        <v>22797</v>
      </c>
      <c r="C350" s="50" t="s">
        <v>212</v>
      </c>
      <c r="D350" s="50" t="s">
        <v>1120</v>
      </c>
      <c r="E350" s="80" t="s">
        <v>585</v>
      </c>
      <c r="F350" s="50" t="s">
        <v>71</v>
      </c>
      <c r="G350" s="60" t="s">
        <v>1121</v>
      </c>
      <c r="H350" s="88">
        <f>600+11859.5</f>
        <v>12459.5</v>
      </c>
      <c r="I350" s="88">
        <v>4320</v>
      </c>
      <c r="J350" s="89"/>
      <c r="K350" s="89">
        <v>1800</v>
      </c>
      <c r="L350" s="89">
        <f t="shared" si="10"/>
        <v>18579.5</v>
      </c>
      <c r="M350" s="87">
        <f t="shared" si="11"/>
        <v>18579.5</v>
      </c>
      <c r="N350" s="89"/>
      <c r="O350" s="89"/>
      <c r="P350" s="48">
        <v>41078</v>
      </c>
      <c r="Q350" s="48">
        <v>41991</v>
      </c>
      <c r="R350" s="49">
        <v>9816</v>
      </c>
    </row>
    <row r="351" spans="1:18" s="1" customFormat="1" ht="63.75" x14ac:dyDescent="0.2">
      <c r="A351" s="45" t="s">
        <v>1122</v>
      </c>
      <c r="B351" s="45">
        <v>22540</v>
      </c>
      <c r="C351" s="50" t="s">
        <v>212</v>
      </c>
      <c r="D351" s="50" t="s">
        <v>1123</v>
      </c>
      <c r="E351" s="80" t="s">
        <v>585</v>
      </c>
      <c r="F351" s="50" t="s">
        <v>22</v>
      </c>
      <c r="G351" s="60" t="s">
        <v>1124</v>
      </c>
      <c r="H351" s="88">
        <f>600+1000+1000</f>
        <v>2600</v>
      </c>
      <c r="I351" s="88">
        <v>8640</v>
      </c>
      <c r="J351" s="89"/>
      <c r="K351" s="89"/>
      <c r="L351" s="89">
        <f t="shared" si="10"/>
        <v>11240</v>
      </c>
      <c r="M351" s="87">
        <f t="shared" si="11"/>
        <v>11240</v>
      </c>
      <c r="N351" s="89"/>
      <c r="O351" s="89"/>
      <c r="P351" s="48">
        <v>41078</v>
      </c>
      <c r="Q351" s="48">
        <v>41808</v>
      </c>
      <c r="R351" s="49">
        <v>9830</v>
      </c>
    </row>
    <row r="352" spans="1:18" s="1" customFormat="1" ht="63.75" x14ac:dyDescent="0.2">
      <c r="A352" s="45" t="s">
        <v>1125</v>
      </c>
      <c r="B352" s="45">
        <v>21654</v>
      </c>
      <c r="C352" s="50" t="s">
        <v>212</v>
      </c>
      <c r="D352" s="50" t="s">
        <v>1126</v>
      </c>
      <c r="E352" s="80" t="s">
        <v>585</v>
      </c>
      <c r="F352" s="50" t="s">
        <v>71</v>
      </c>
      <c r="G352" s="60" t="s">
        <v>1127</v>
      </c>
      <c r="H352" s="88">
        <v>24880</v>
      </c>
      <c r="I352" s="88"/>
      <c r="J352" s="89"/>
      <c r="K352" s="89"/>
      <c r="L352" s="89">
        <f t="shared" si="10"/>
        <v>24880</v>
      </c>
      <c r="M352" s="87">
        <f t="shared" si="11"/>
        <v>24880</v>
      </c>
      <c r="N352" s="89"/>
      <c r="O352" s="89"/>
      <c r="P352" s="48">
        <v>41078</v>
      </c>
      <c r="Q352" s="48">
        <v>41808</v>
      </c>
      <c r="R352" s="49">
        <v>9821</v>
      </c>
    </row>
    <row r="353" spans="1:18" s="1" customFormat="1" ht="25.5" x14ac:dyDescent="0.2">
      <c r="A353" s="45" t="s">
        <v>1128</v>
      </c>
      <c r="B353" s="45">
        <v>20374</v>
      </c>
      <c r="C353" s="50" t="s">
        <v>1129</v>
      </c>
      <c r="D353" s="50" t="s">
        <v>1130</v>
      </c>
      <c r="E353" s="80" t="s">
        <v>585</v>
      </c>
      <c r="F353" s="50" t="s">
        <v>193</v>
      </c>
      <c r="G353" s="60" t="s">
        <v>1131</v>
      </c>
      <c r="H353" s="88">
        <f>3516.4+617+3568.98</f>
        <v>7702.3799999999992</v>
      </c>
      <c r="I353" s="88"/>
      <c r="J353" s="89"/>
      <c r="K353" s="89">
        <v>12478</v>
      </c>
      <c r="L353" s="89">
        <f t="shared" si="10"/>
        <v>20180.379999999997</v>
      </c>
      <c r="M353" s="87">
        <f t="shared" si="11"/>
        <v>20180.379999999997</v>
      </c>
      <c r="N353" s="89"/>
      <c r="O353" s="89"/>
      <c r="P353" s="48">
        <v>41092</v>
      </c>
      <c r="Q353" s="48">
        <v>41822</v>
      </c>
      <c r="R353" s="49">
        <v>10397</v>
      </c>
    </row>
    <row r="354" spans="1:18" s="1" customFormat="1" ht="25.5" x14ac:dyDescent="0.2">
      <c r="A354" s="45" t="s">
        <v>1132</v>
      </c>
      <c r="B354" s="45">
        <v>22525</v>
      </c>
      <c r="C354" s="50" t="s">
        <v>324</v>
      </c>
      <c r="D354" s="50" t="s">
        <v>325</v>
      </c>
      <c r="E354" s="80" t="s">
        <v>585</v>
      </c>
      <c r="F354" s="50" t="s">
        <v>63</v>
      </c>
      <c r="G354" s="60" t="s">
        <v>1133</v>
      </c>
      <c r="H354" s="88">
        <v>1600</v>
      </c>
      <c r="I354" s="88"/>
      <c r="J354" s="89"/>
      <c r="K354" s="89">
        <v>13400</v>
      </c>
      <c r="L354" s="89">
        <f t="shared" si="10"/>
        <v>15000</v>
      </c>
      <c r="M354" s="87">
        <f t="shared" si="11"/>
        <v>15000</v>
      </c>
      <c r="N354" s="89"/>
      <c r="O354" s="89"/>
      <c r="P354" s="48">
        <v>41109</v>
      </c>
      <c r="Q354" s="48">
        <v>41839</v>
      </c>
      <c r="R354" s="49">
        <v>10495</v>
      </c>
    </row>
    <row r="355" spans="1:18" s="1" customFormat="1" ht="63.75" x14ac:dyDescent="0.2">
      <c r="A355" s="45" t="s">
        <v>1134</v>
      </c>
      <c r="B355" s="45">
        <v>21927</v>
      </c>
      <c r="C355" s="50" t="s">
        <v>1135</v>
      </c>
      <c r="D355" s="50" t="s">
        <v>1136</v>
      </c>
      <c r="E355" s="80" t="s">
        <v>585</v>
      </c>
      <c r="F355" s="50" t="s">
        <v>63</v>
      </c>
      <c r="G355" s="60" t="s">
        <v>1137</v>
      </c>
      <c r="H355" s="88">
        <v>5280</v>
      </c>
      <c r="I355" s="88">
        <v>8640</v>
      </c>
      <c r="J355" s="89"/>
      <c r="K355" s="89">
        <v>8800</v>
      </c>
      <c r="L355" s="89">
        <f t="shared" si="10"/>
        <v>22720</v>
      </c>
      <c r="M355" s="87">
        <f t="shared" si="11"/>
        <v>22720</v>
      </c>
      <c r="N355" s="89"/>
      <c r="O355" s="89"/>
      <c r="P355" s="48">
        <v>41088</v>
      </c>
      <c r="Q355" s="48">
        <v>42001</v>
      </c>
      <c r="R355" s="49">
        <v>10571</v>
      </c>
    </row>
    <row r="356" spans="1:18" s="1" customFormat="1" ht="51" x14ac:dyDescent="0.2">
      <c r="A356" s="45" t="s">
        <v>1138</v>
      </c>
      <c r="B356" s="45">
        <v>22487</v>
      </c>
      <c r="C356" s="50" t="s">
        <v>1135</v>
      </c>
      <c r="D356" s="50" t="s">
        <v>1139</v>
      </c>
      <c r="E356" s="80" t="s">
        <v>585</v>
      </c>
      <c r="F356" s="50" t="s">
        <v>94</v>
      </c>
      <c r="G356" s="60" t="s">
        <v>1140</v>
      </c>
      <c r="H356" s="88"/>
      <c r="I356" s="88">
        <v>4320</v>
      </c>
      <c r="J356" s="89"/>
      <c r="K356" s="89">
        <v>4624</v>
      </c>
      <c r="L356" s="89">
        <f t="shared" si="10"/>
        <v>8944</v>
      </c>
      <c r="M356" s="87">
        <f t="shared" si="11"/>
        <v>8944</v>
      </c>
      <c r="N356" s="89"/>
      <c r="O356" s="89"/>
      <c r="P356" s="48">
        <v>41088</v>
      </c>
      <c r="Q356" s="48">
        <v>41818</v>
      </c>
      <c r="R356" s="49">
        <v>10446</v>
      </c>
    </row>
    <row r="357" spans="1:18" s="1" customFormat="1" ht="51" x14ac:dyDescent="0.2">
      <c r="A357" s="45" t="s">
        <v>1141</v>
      </c>
      <c r="B357" s="45">
        <v>22491</v>
      </c>
      <c r="C357" s="50" t="s">
        <v>1135</v>
      </c>
      <c r="D357" s="50" t="s">
        <v>1142</v>
      </c>
      <c r="E357" s="80" t="s">
        <v>585</v>
      </c>
      <c r="F357" s="50" t="s">
        <v>87</v>
      </c>
      <c r="G357" s="60" t="s">
        <v>1143</v>
      </c>
      <c r="H357" s="88">
        <f>3840+9320+1200</f>
        <v>14360</v>
      </c>
      <c r="I357" s="88">
        <v>8640</v>
      </c>
      <c r="J357" s="89"/>
      <c r="K357" s="89">
        <v>2000</v>
      </c>
      <c r="L357" s="89">
        <f t="shared" si="10"/>
        <v>25000</v>
      </c>
      <c r="M357" s="87">
        <f t="shared" si="11"/>
        <v>25000</v>
      </c>
      <c r="N357" s="89"/>
      <c r="O357" s="89"/>
      <c r="P357" s="48">
        <v>41088</v>
      </c>
      <c r="Q357" s="48">
        <v>42091</v>
      </c>
      <c r="R357" s="49">
        <v>10461</v>
      </c>
    </row>
    <row r="358" spans="1:18" s="1" customFormat="1" ht="38.25" x14ac:dyDescent="0.2">
      <c r="A358" s="45" t="s">
        <v>1144</v>
      </c>
      <c r="B358" s="45">
        <v>23689</v>
      </c>
      <c r="C358" s="50" t="s">
        <v>1135</v>
      </c>
      <c r="D358" s="50" t="s">
        <v>1145</v>
      </c>
      <c r="E358" s="80" t="s">
        <v>585</v>
      </c>
      <c r="F358" s="50" t="s">
        <v>87</v>
      </c>
      <c r="G358" s="60" t="s">
        <v>1146</v>
      </c>
      <c r="H358" s="88">
        <f>1844+4500</f>
        <v>6344</v>
      </c>
      <c r="I358" s="88">
        <v>8640</v>
      </c>
      <c r="J358" s="89"/>
      <c r="K358" s="89"/>
      <c r="L358" s="89">
        <f t="shared" si="10"/>
        <v>14984</v>
      </c>
      <c r="M358" s="87">
        <f t="shared" si="11"/>
        <v>14984</v>
      </c>
      <c r="N358" s="89"/>
      <c r="O358" s="89"/>
      <c r="P358" s="48">
        <v>41088</v>
      </c>
      <c r="Q358" s="48">
        <v>41818</v>
      </c>
      <c r="R358" s="49">
        <v>10507</v>
      </c>
    </row>
    <row r="359" spans="1:18" s="1" customFormat="1" ht="38.25" x14ac:dyDescent="0.2">
      <c r="A359" s="45" t="s">
        <v>1147</v>
      </c>
      <c r="B359" s="45">
        <v>16832</v>
      </c>
      <c r="C359" s="50" t="s">
        <v>507</v>
      </c>
      <c r="D359" s="50" t="s">
        <v>1148</v>
      </c>
      <c r="E359" s="80" t="s">
        <v>585</v>
      </c>
      <c r="F359" s="50" t="s">
        <v>94</v>
      </c>
      <c r="G359" s="60" t="s">
        <v>1149</v>
      </c>
      <c r="H359" s="88">
        <v>14925</v>
      </c>
      <c r="I359" s="88"/>
      <c r="J359" s="89"/>
      <c r="K359" s="89"/>
      <c r="L359" s="89">
        <f t="shared" si="10"/>
        <v>14925</v>
      </c>
      <c r="M359" s="87">
        <f t="shared" si="11"/>
        <v>14925</v>
      </c>
      <c r="N359" s="89"/>
      <c r="O359" s="89"/>
      <c r="P359" s="48">
        <v>41078</v>
      </c>
      <c r="Q359" s="48">
        <v>42022</v>
      </c>
      <c r="R359" s="49">
        <v>9773</v>
      </c>
    </row>
    <row r="360" spans="1:18" s="1" customFormat="1" ht="51" x14ac:dyDescent="0.2">
      <c r="A360" s="45" t="s">
        <v>1150</v>
      </c>
      <c r="B360" s="45">
        <v>7318</v>
      </c>
      <c r="C360" s="50" t="s">
        <v>369</v>
      </c>
      <c r="D360" s="50" t="s">
        <v>1151</v>
      </c>
      <c r="E360" s="80" t="s">
        <v>585</v>
      </c>
      <c r="F360" s="50" t="s">
        <v>71</v>
      </c>
      <c r="G360" s="60" t="s">
        <v>1152</v>
      </c>
      <c r="H360" s="88">
        <f>1200+4000+600+1100</f>
        <v>6900</v>
      </c>
      <c r="I360" s="88"/>
      <c r="J360" s="89"/>
      <c r="K360" s="89">
        <v>18100</v>
      </c>
      <c r="L360" s="89">
        <f t="shared" si="10"/>
        <v>25000</v>
      </c>
      <c r="M360" s="87">
        <f t="shared" si="11"/>
        <v>25000</v>
      </c>
      <c r="N360" s="89"/>
      <c r="O360" s="89"/>
      <c r="P360" s="48">
        <v>41079</v>
      </c>
      <c r="Q360" s="48">
        <v>42082</v>
      </c>
      <c r="R360" s="61">
        <v>10116</v>
      </c>
    </row>
    <row r="361" spans="1:18" s="1" customFormat="1" ht="76.5" x14ac:dyDescent="0.2">
      <c r="A361" s="45" t="s">
        <v>1153</v>
      </c>
      <c r="B361" s="45">
        <v>19196</v>
      </c>
      <c r="C361" s="50" t="s">
        <v>369</v>
      </c>
      <c r="D361" s="50" t="s">
        <v>1154</v>
      </c>
      <c r="E361" s="80" t="s">
        <v>585</v>
      </c>
      <c r="F361" s="50" t="s">
        <v>167</v>
      </c>
      <c r="G361" s="60" t="s">
        <v>1155</v>
      </c>
      <c r="H361" s="88">
        <f>1440+11310+5700</f>
        <v>18450</v>
      </c>
      <c r="I361" s="88">
        <v>4320</v>
      </c>
      <c r="J361" s="89"/>
      <c r="K361" s="89"/>
      <c r="L361" s="89">
        <f t="shared" si="10"/>
        <v>22770</v>
      </c>
      <c r="M361" s="87">
        <f t="shared" si="11"/>
        <v>22770</v>
      </c>
      <c r="N361" s="89"/>
      <c r="O361" s="89"/>
      <c r="P361" s="48">
        <v>41079</v>
      </c>
      <c r="Q361" s="48">
        <v>41809</v>
      </c>
      <c r="R361" s="49">
        <v>9919</v>
      </c>
    </row>
    <row r="362" spans="1:18" s="1" customFormat="1" ht="51" x14ac:dyDescent="0.2">
      <c r="A362" s="45" t="s">
        <v>1156</v>
      </c>
      <c r="B362" s="45">
        <v>20780</v>
      </c>
      <c r="C362" s="50" t="s">
        <v>369</v>
      </c>
      <c r="D362" s="50" t="s">
        <v>1157</v>
      </c>
      <c r="E362" s="80" t="s">
        <v>585</v>
      </c>
      <c r="F362" s="50" t="s">
        <v>45</v>
      </c>
      <c r="G362" s="60" t="s">
        <v>1158</v>
      </c>
      <c r="H362" s="88">
        <f>8400+11517</f>
        <v>19917</v>
      </c>
      <c r="I362" s="88">
        <v>8640</v>
      </c>
      <c r="J362" s="89"/>
      <c r="K362" s="89">
        <v>9300</v>
      </c>
      <c r="L362" s="89">
        <f t="shared" si="10"/>
        <v>37857</v>
      </c>
      <c r="M362" s="87">
        <f t="shared" si="11"/>
        <v>37857</v>
      </c>
      <c r="N362" s="89"/>
      <c r="O362" s="89"/>
      <c r="P362" s="48">
        <v>41079</v>
      </c>
      <c r="Q362" s="48">
        <v>42357</v>
      </c>
      <c r="R362" s="61">
        <v>10074</v>
      </c>
    </row>
    <row r="363" spans="1:18" s="1" customFormat="1" ht="51" x14ac:dyDescent="0.2">
      <c r="A363" s="45" t="s">
        <v>1159</v>
      </c>
      <c r="B363" s="45">
        <v>21683</v>
      </c>
      <c r="C363" s="50" t="s">
        <v>369</v>
      </c>
      <c r="D363" s="50" t="s">
        <v>1160</v>
      </c>
      <c r="E363" s="80" t="s">
        <v>585</v>
      </c>
      <c r="F363" s="50" t="s">
        <v>71</v>
      </c>
      <c r="G363" s="60" t="s">
        <v>1161</v>
      </c>
      <c r="H363" s="88">
        <f>600+2500</f>
        <v>3100</v>
      </c>
      <c r="I363" s="88"/>
      <c r="J363" s="89"/>
      <c r="K363" s="89">
        <f>21900</f>
        <v>21900</v>
      </c>
      <c r="L363" s="89">
        <f t="shared" si="10"/>
        <v>25000</v>
      </c>
      <c r="M363" s="87">
        <f t="shared" si="11"/>
        <v>25000</v>
      </c>
      <c r="N363" s="89"/>
      <c r="O363" s="89"/>
      <c r="P363" s="48">
        <v>41079</v>
      </c>
      <c r="Q363" s="48">
        <v>42632</v>
      </c>
      <c r="R363" s="61">
        <v>10121</v>
      </c>
    </row>
    <row r="364" spans="1:18" s="1" customFormat="1" ht="51" x14ac:dyDescent="0.2">
      <c r="A364" s="45" t="s">
        <v>1162</v>
      </c>
      <c r="B364" s="45">
        <v>21724</v>
      </c>
      <c r="C364" s="50" t="s">
        <v>369</v>
      </c>
      <c r="D364" s="50" t="s">
        <v>1163</v>
      </c>
      <c r="E364" s="80" t="s">
        <v>585</v>
      </c>
      <c r="F364" s="50" t="s">
        <v>94</v>
      </c>
      <c r="G364" s="60" t="s">
        <v>1164</v>
      </c>
      <c r="H364" s="88">
        <f>3310+2820</f>
        <v>6130</v>
      </c>
      <c r="I364" s="88"/>
      <c r="J364" s="89"/>
      <c r="K364" s="89">
        <v>18866.099999999999</v>
      </c>
      <c r="L364" s="89">
        <f t="shared" si="10"/>
        <v>24996.1</v>
      </c>
      <c r="M364" s="87">
        <f t="shared" si="11"/>
        <v>24996.1</v>
      </c>
      <c r="N364" s="89"/>
      <c r="O364" s="89"/>
      <c r="P364" s="48">
        <v>41079</v>
      </c>
      <c r="Q364" s="48">
        <v>41809</v>
      </c>
      <c r="R364" s="61">
        <v>10088</v>
      </c>
    </row>
    <row r="365" spans="1:18" s="1" customFormat="1" ht="25.5" x14ac:dyDescent="0.2">
      <c r="A365" s="45" t="s">
        <v>1165</v>
      </c>
      <c r="B365" s="45">
        <v>21990</v>
      </c>
      <c r="C365" s="50" t="s">
        <v>369</v>
      </c>
      <c r="D365" s="50" t="s">
        <v>1166</v>
      </c>
      <c r="E365" s="80" t="s">
        <v>585</v>
      </c>
      <c r="F365" s="50" t="s">
        <v>98</v>
      </c>
      <c r="G365" s="60" t="s">
        <v>1167</v>
      </c>
      <c r="H365" s="88">
        <f>6000</f>
        <v>6000</v>
      </c>
      <c r="I365" s="88"/>
      <c r="J365" s="89"/>
      <c r="K365" s="89">
        <f>6000+1700</f>
        <v>7700</v>
      </c>
      <c r="L365" s="89">
        <f t="shared" si="10"/>
        <v>13700</v>
      </c>
      <c r="M365" s="87">
        <f t="shared" si="11"/>
        <v>13700</v>
      </c>
      <c r="N365" s="89"/>
      <c r="O365" s="89"/>
      <c r="P365" s="48">
        <v>41079</v>
      </c>
      <c r="Q365" s="48">
        <v>41809</v>
      </c>
      <c r="R365" s="61">
        <v>10075</v>
      </c>
    </row>
    <row r="366" spans="1:18" s="1" customFormat="1" ht="38.25" x14ac:dyDescent="0.2">
      <c r="A366" s="45" t="s">
        <v>1168</v>
      </c>
      <c r="B366" s="45">
        <v>22110</v>
      </c>
      <c r="C366" s="50" t="s">
        <v>369</v>
      </c>
      <c r="D366" s="50" t="s">
        <v>1169</v>
      </c>
      <c r="E366" s="80" t="s">
        <v>585</v>
      </c>
      <c r="F366" s="50" t="s">
        <v>87</v>
      </c>
      <c r="G366" s="60" t="s">
        <v>1170</v>
      </c>
      <c r="H366" s="88">
        <f>2350</f>
        <v>2350</v>
      </c>
      <c r="I366" s="88"/>
      <c r="J366" s="89"/>
      <c r="K366" s="89">
        <v>47070</v>
      </c>
      <c r="L366" s="89">
        <f t="shared" si="10"/>
        <v>49420</v>
      </c>
      <c r="M366" s="87">
        <f t="shared" si="11"/>
        <v>49420</v>
      </c>
      <c r="N366" s="89"/>
      <c r="O366" s="89"/>
      <c r="P366" s="48">
        <v>41079</v>
      </c>
      <c r="Q366" s="48">
        <v>42266</v>
      </c>
      <c r="R366" s="61">
        <v>10072</v>
      </c>
    </row>
    <row r="367" spans="1:18" s="1" customFormat="1" ht="51" x14ac:dyDescent="0.2">
      <c r="A367" s="45" t="s">
        <v>1171</v>
      </c>
      <c r="B367" s="45">
        <v>22153</v>
      </c>
      <c r="C367" s="50" t="s">
        <v>369</v>
      </c>
      <c r="D367" s="50" t="s">
        <v>1172</v>
      </c>
      <c r="E367" s="80" t="s">
        <v>585</v>
      </c>
      <c r="F367" s="50" t="s">
        <v>193</v>
      </c>
      <c r="G367" s="60" t="s">
        <v>1173</v>
      </c>
      <c r="H367" s="88">
        <f>3000+3700</f>
        <v>6700</v>
      </c>
      <c r="I367" s="88"/>
      <c r="J367" s="89"/>
      <c r="K367" s="89">
        <v>18278.099999999999</v>
      </c>
      <c r="L367" s="89">
        <f t="shared" si="10"/>
        <v>24978.1</v>
      </c>
      <c r="M367" s="87">
        <f t="shared" si="11"/>
        <v>24978.1</v>
      </c>
      <c r="N367" s="89"/>
      <c r="O367" s="89"/>
      <c r="P367" s="48">
        <v>41079</v>
      </c>
      <c r="Q367" s="48">
        <v>41809</v>
      </c>
      <c r="R367" s="61">
        <v>10077</v>
      </c>
    </row>
    <row r="368" spans="1:18" s="1" customFormat="1" ht="51" x14ac:dyDescent="0.2">
      <c r="A368" s="45" t="s">
        <v>1174</v>
      </c>
      <c r="B368" s="45">
        <v>22160</v>
      </c>
      <c r="C368" s="50" t="s">
        <v>369</v>
      </c>
      <c r="D368" s="50" t="s">
        <v>1175</v>
      </c>
      <c r="E368" s="80" t="s">
        <v>585</v>
      </c>
      <c r="F368" s="50" t="s">
        <v>94</v>
      </c>
      <c r="G368" s="60" t="s">
        <v>1176</v>
      </c>
      <c r="H368" s="88">
        <v>50000</v>
      </c>
      <c r="I368" s="88"/>
      <c r="J368" s="89"/>
      <c r="K368" s="89"/>
      <c r="L368" s="89">
        <f t="shared" si="10"/>
        <v>50000</v>
      </c>
      <c r="M368" s="87">
        <f t="shared" si="11"/>
        <v>50000</v>
      </c>
      <c r="N368" s="89"/>
      <c r="O368" s="89"/>
      <c r="P368" s="48">
        <v>41079</v>
      </c>
      <c r="Q368" s="48">
        <v>42082</v>
      </c>
      <c r="R368" s="61">
        <v>10111</v>
      </c>
    </row>
    <row r="369" spans="1:18" s="1" customFormat="1" ht="25.5" x14ac:dyDescent="0.2">
      <c r="A369" s="45" t="s">
        <v>1177</v>
      </c>
      <c r="B369" s="45">
        <v>22345</v>
      </c>
      <c r="C369" s="50" t="s">
        <v>369</v>
      </c>
      <c r="D369" s="50" t="s">
        <v>1178</v>
      </c>
      <c r="E369" s="80" t="s">
        <v>585</v>
      </c>
      <c r="F369" s="50" t="s">
        <v>63</v>
      </c>
      <c r="G369" s="60" t="s">
        <v>1179</v>
      </c>
      <c r="H369" s="88">
        <v>8000</v>
      </c>
      <c r="I369" s="88"/>
      <c r="J369" s="89"/>
      <c r="K369" s="89">
        <v>17000</v>
      </c>
      <c r="L369" s="89">
        <f t="shared" si="10"/>
        <v>25000</v>
      </c>
      <c r="M369" s="87">
        <f t="shared" si="11"/>
        <v>25000</v>
      </c>
      <c r="N369" s="89"/>
      <c r="O369" s="89"/>
      <c r="P369" s="48">
        <v>41079</v>
      </c>
      <c r="Q369" s="48">
        <v>41809</v>
      </c>
      <c r="R369" s="61">
        <v>10066</v>
      </c>
    </row>
    <row r="370" spans="1:18" s="1" customFormat="1" ht="38.25" x14ac:dyDescent="0.2">
      <c r="A370" s="45" t="s">
        <v>1180</v>
      </c>
      <c r="B370" s="45">
        <v>22351</v>
      </c>
      <c r="C370" s="50" t="s">
        <v>369</v>
      </c>
      <c r="D370" s="50" t="s">
        <v>1181</v>
      </c>
      <c r="E370" s="80" t="s">
        <v>585</v>
      </c>
      <c r="F370" s="50" t="s">
        <v>98</v>
      </c>
      <c r="G370" s="60" t="s">
        <v>1182</v>
      </c>
      <c r="H370" s="88">
        <v>9000</v>
      </c>
      <c r="I370" s="88"/>
      <c r="J370" s="89"/>
      <c r="K370" s="89">
        <v>20285</v>
      </c>
      <c r="L370" s="89">
        <f t="shared" si="10"/>
        <v>29285</v>
      </c>
      <c r="M370" s="87">
        <f t="shared" si="11"/>
        <v>29285</v>
      </c>
      <c r="N370" s="89"/>
      <c r="O370" s="89"/>
      <c r="P370" s="48">
        <v>41079</v>
      </c>
      <c r="Q370" s="48">
        <v>42082</v>
      </c>
      <c r="R370" s="61">
        <v>10081</v>
      </c>
    </row>
    <row r="371" spans="1:18" s="1" customFormat="1" ht="76.5" x14ac:dyDescent="0.2">
      <c r="A371" s="45" t="s">
        <v>1183</v>
      </c>
      <c r="B371" s="45">
        <v>22577</v>
      </c>
      <c r="C371" s="50" t="s">
        <v>369</v>
      </c>
      <c r="D371" s="50" t="s">
        <v>1184</v>
      </c>
      <c r="E371" s="80" t="s">
        <v>585</v>
      </c>
      <c r="F371" s="50" t="s">
        <v>63</v>
      </c>
      <c r="G371" s="60" t="s">
        <v>1185</v>
      </c>
      <c r="H371" s="88"/>
      <c r="I371" s="88">
        <v>2160</v>
      </c>
      <c r="J371" s="89"/>
      <c r="K371" s="89">
        <f>2500+5140+2200+3000</f>
        <v>12840</v>
      </c>
      <c r="L371" s="89">
        <f t="shared" si="10"/>
        <v>15000</v>
      </c>
      <c r="M371" s="87">
        <f t="shared" si="11"/>
        <v>15000</v>
      </c>
      <c r="N371" s="89"/>
      <c r="O371" s="89"/>
      <c r="P371" s="48">
        <v>41079</v>
      </c>
      <c r="Q371" s="48">
        <v>42266</v>
      </c>
      <c r="R371" s="61">
        <v>10084</v>
      </c>
    </row>
    <row r="372" spans="1:18" s="1" customFormat="1" ht="51" x14ac:dyDescent="0.2">
      <c r="A372" s="45" t="s">
        <v>1186</v>
      </c>
      <c r="B372" s="45">
        <v>22591</v>
      </c>
      <c r="C372" s="50" t="s">
        <v>369</v>
      </c>
      <c r="D372" s="50" t="s">
        <v>1187</v>
      </c>
      <c r="E372" s="80" t="s">
        <v>585</v>
      </c>
      <c r="F372" s="50" t="s">
        <v>87</v>
      </c>
      <c r="G372" s="60" t="s">
        <v>1188</v>
      </c>
      <c r="H372" s="88"/>
      <c r="I372" s="88"/>
      <c r="J372" s="89"/>
      <c r="K372" s="89">
        <v>25000</v>
      </c>
      <c r="L372" s="89">
        <f t="shared" si="10"/>
        <v>25000</v>
      </c>
      <c r="M372" s="87">
        <f t="shared" si="11"/>
        <v>25000</v>
      </c>
      <c r="N372" s="89"/>
      <c r="O372" s="89"/>
      <c r="P372" s="48">
        <v>41085</v>
      </c>
      <c r="Q372" s="48">
        <v>41815</v>
      </c>
      <c r="R372" s="61">
        <v>10125</v>
      </c>
    </row>
    <row r="373" spans="1:18" s="1" customFormat="1" ht="38.25" x14ac:dyDescent="0.2">
      <c r="A373" s="45" t="s">
        <v>1189</v>
      </c>
      <c r="B373" s="45">
        <v>22713</v>
      </c>
      <c r="C373" s="50" t="s">
        <v>369</v>
      </c>
      <c r="D373" s="50" t="s">
        <v>1190</v>
      </c>
      <c r="E373" s="80" t="s">
        <v>585</v>
      </c>
      <c r="F373" s="50" t="s">
        <v>26</v>
      </c>
      <c r="G373" s="60" t="s">
        <v>1191</v>
      </c>
      <c r="H373" s="88">
        <f>1200+3660+3000+1000</f>
        <v>8860</v>
      </c>
      <c r="I373" s="88">
        <v>8640</v>
      </c>
      <c r="J373" s="89"/>
      <c r="K373" s="89">
        <f>1800+800+1500</f>
        <v>4100</v>
      </c>
      <c r="L373" s="89">
        <f t="shared" si="10"/>
        <v>21600</v>
      </c>
      <c r="M373" s="87">
        <f t="shared" si="11"/>
        <v>21600</v>
      </c>
      <c r="N373" s="89"/>
      <c r="O373" s="89"/>
      <c r="P373" s="48">
        <v>41079</v>
      </c>
      <c r="Q373" s="48">
        <v>42266</v>
      </c>
      <c r="R373" s="49">
        <v>10070</v>
      </c>
    </row>
    <row r="374" spans="1:18" s="1" customFormat="1" ht="51" x14ac:dyDescent="0.2">
      <c r="A374" s="45" t="s">
        <v>1192</v>
      </c>
      <c r="B374" s="45">
        <v>22731</v>
      </c>
      <c r="C374" s="50" t="s">
        <v>369</v>
      </c>
      <c r="D374" s="50" t="s">
        <v>1193</v>
      </c>
      <c r="E374" s="80" t="s">
        <v>585</v>
      </c>
      <c r="F374" s="50" t="s">
        <v>87</v>
      </c>
      <c r="G374" s="60" t="s">
        <v>1194</v>
      </c>
      <c r="H374" s="88">
        <f>500</f>
        <v>500</v>
      </c>
      <c r="I374" s="88">
        <v>8640</v>
      </c>
      <c r="J374" s="89"/>
      <c r="K374" s="89">
        <v>3300</v>
      </c>
      <c r="L374" s="89">
        <f t="shared" si="10"/>
        <v>12440</v>
      </c>
      <c r="M374" s="87">
        <f t="shared" si="11"/>
        <v>12440</v>
      </c>
      <c r="N374" s="89"/>
      <c r="O374" s="89"/>
      <c r="P374" s="48">
        <v>41079</v>
      </c>
      <c r="Q374" s="48">
        <v>41805</v>
      </c>
      <c r="R374" s="61">
        <v>10102</v>
      </c>
    </row>
    <row r="375" spans="1:18" s="1" customFormat="1" ht="25.5" x14ac:dyDescent="0.2">
      <c r="A375" s="45" t="s">
        <v>1195</v>
      </c>
      <c r="B375" s="45">
        <v>22843</v>
      </c>
      <c r="C375" s="50" t="s">
        <v>369</v>
      </c>
      <c r="D375" s="50" t="s">
        <v>1196</v>
      </c>
      <c r="E375" s="80" t="s">
        <v>585</v>
      </c>
      <c r="F375" s="50" t="s">
        <v>94</v>
      </c>
      <c r="G375" s="60" t="s">
        <v>1197</v>
      </c>
      <c r="H375" s="88">
        <v>48000</v>
      </c>
      <c r="I375" s="88"/>
      <c r="J375" s="89"/>
      <c r="K375" s="89"/>
      <c r="L375" s="89">
        <f t="shared" si="10"/>
        <v>48000</v>
      </c>
      <c r="M375" s="87">
        <f t="shared" si="11"/>
        <v>48000</v>
      </c>
      <c r="N375" s="89"/>
      <c r="O375" s="89"/>
      <c r="P375" s="48">
        <v>41079</v>
      </c>
      <c r="Q375" s="48">
        <v>42174</v>
      </c>
      <c r="R375" s="61">
        <v>10096</v>
      </c>
    </row>
    <row r="376" spans="1:18" s="1" customFormat="1" ht="51" x14ac:dyDescent="0.2">
      <c r="A376" s="45" t="s">
        <v>1198</v>
      </c>
      <c r="B376" s="45">
        <v>23020</v>
      </c>
      <c r="C376" s="50" t="s">
        <v>369</v>
      </c>
      <c r="D376" s="50" t="s">
        <v>1199</v>
      </c>
      <c r="E376" s="80" t="s">
        <v>585</v>
      </c>
      <c r="F376" s="50" t="s">
        <v>167</v>
      </c>
      <c r="G376" s="60" t="s">
        <v>1200</v>
      </c>
      <c r="H376" s="88"/>
      <c r="I376" s="88"/>
      <c r="J376" s="89"/>
      <c r="K376" s="89">
        <v>25000</v>
      </c>
      <c r="L376" s="89">
        <f t="shared" si="10"/>
        <v>25000</v>
      </c>
      <c r="M376" s="87">
        <f t="shared" si="11"/>
        <v>25000</v>
      </c>
      <c r="N376" s="89"/>
      <c r="O376" s="89"/>
      <c r="P376" s="48">
        <v>41079</v>
      </c>
      <c r="Q376" s="48">
        <v>41809</v>
      </c>
      <c r="R376" s="61">
        <v>10100</v>
      </c>
    </row>
    <row r="377" spans="1:18" s="1" customFormat="1" ht="38.25" x14ac:dyDescent="0.2">
      <c r="A377" s="45" t="s">
        <v>1201</v>
      </c>
      <c r="B377" s="45">
        <v>23027</v>
      </c>
      <c r="C377" s="50" t="s">
        <v>369</v>
      </c>
      <c r="D377" s="50" t="s">
        <v>1202</v>
      </c>
      <c r="E377" s="80" t="s">
        <v>585</v>
      </c>
      <c r="F377" s="50" t="s">
        <v>167</v>
      </c>
      <c r="G377" s="60" t="s">
        <v>1203</v>
      </c>
      <c r="H377" s="88">
        <v>15700</v>
      </c>
      <c r="I377" s="88"/>
      <c r="J377" s="89"/>
      <c r="K377" s="89">
        <v>9300</v>
      </c>
      <c r="L377" s="89">
        <f t="shared" si="10"/>
        <v>25000</v>
      </c>
      <c r="M377" s="87">
        <f t="shared" si="11"/>
        <v>25000</v>
      </c>
      <c r="N377" s="89"/>
      <c r="O377" s="89"/>
      <c r="P377" s="48">
        <v>41079</v>
      </c>
      <c r="Q377" s="48">
        <v>42357</v>
      </c>
      <c r="R377" s="61">
        <v>10122</v>
      </c>
    </row>
    <row r="378" spans="1:18" s="1" customFormat="1" ht="51" x14ac:dyDescent="0.2">
      <c r="A378" s="45" t="s">
        <v>1204</v>
      </c>
      <c r="B378" s="45">
        <v>23377</v>
      </c>
      <c r="C378" s="50" t="s">
        <v>369</v>
      </c>
      <c r="D378" s="50" t="s">
        <v>1205</v>
      </c>
      <c r="E378" s="80" t="s">
        <v>585</v>
      </c>
      <c r="F378" s="50" t="s">
        <v>63</v>
      </c>
      <c r="G378" s="60" t="s">
        <v>1206</v>
      </c>
      <c r="H378" s="88">
        <f>2462</f>
        <v>2462</v>
      </c>
      <c r="I378" s="88">
        <v>8640</v>
      </c>
      <c r="J378" s="89"/>
      <c r="K378" s="89">
        <v>5400</v>
      </c>
      <c r="L378" s="89">
        <f t="shared" si="10"/>
        <v>16502</v>
      </c>
      <c r="M378" s="87">
        <f t="shared" si="11"/>
        <v>16502</v>
      </c>
      <c r="N378" s="89"/>
      <c r="O378" s="89"/>
      <c r="P378" s="48">
        <v>41079</v>
      </c>
      <c r="Q378" s="48">
        <v>41809</v>
      </c>
      <c r="R378" s="61">
        <v>10119</v>
      </c>
    </row>
    <row r="379" spans="1:18" s="1" customFormat="1" ht="25.5" x14ac:dyDescent="0.2">
      <c r="A379" s="45" t="s">
        <v>1207</v>
      </c>
      <c r="B379" s="45">
        <v>23513</v>
      </c>
      <c r="C379" s="50" t="s">
        <v>369</v>
      </c>
      <c r="D379" s="50" t="s">
        <v>1208</v>
      </c>
      <c r="E379" s="80" t="s">
        <v>585</v>
      </c>
      <c r="F379" s="50" t="s">
        <v>71</v>
      </c>
      <c r="G379" s="60" t="s">
        <v>1209</v>
      </c>
      <c r="H379" s="88">
        <f>4645+500</f>
        <v>5145</v>
      </c>
      <c r="I379" s="88">
        <v>8640</v>
      </c>
      <c r="J379" s="89"/>
      <c r="K379" s="89">
        <f>30000+1800</f>
        <v>31800</v>
      </c>
      <c r="L379" s="89">
        <f t="shared" si="10"/>
        <v>45585</v>
      </c>
      <c r="M379" s="87">
        <f t="shared" si="11"/>
        <v>45585</v>
      </c>
      <c r="N379" s="89"/>
      <c r="O379" s="89"/>
      <c r="P379" s="48">
        <v>41079</v>
      </c>
      <c r="Q379" s="48">
        <v>42082</v>
      </c>
      <c r="R379" s="61">
        <v>10112</v>
      </c>
    </row>
    <row r="380" spans="1:18" s="1" customFormat="1" ht="25.5" x14ac:dyDescent="0.2">
      <c r="A380" s="45" t="s">
        <v>1210</v>
      </c>
      <c r="B380" s="45">
        <v>23588</v>
      </c>
      <c r="C380" s="50" t="s">
        <v>369</v>
      </c>
      <c r="D380" s="50" t="s">
        <v>1211</v>
      </c>
      <c r="E380" s="80" t="s">
        <v>585</v>
      </c>
      <c r="F380" s="50" t="s">
        <v>26</v>
      </c>
      <c r="G380" s="60" t="s">
        <v>1212</v>
      </c>
      <c r="H380" s="88">
        <f>3600+5000+2500</f>
        <v>11100</v>
      </c>
      <c r="I380" s="88">
        <v>4320</v>
      </c>
      <c r="J380" s="89"/>
      <c r="K380" s="89">
        <v>7300</v>
      </c>
      <c r="L380" s="89">
        <f t="shared" si="10"/>
        <v>22720</v>
      </c>
      <c r="M380" s="87">
        <f t="shared" si="11"/>
        <v>22720</v>
      </c>
      <c r="N380" s="89"/>
      <c r="O380" s="89"/>
      <c r="P380" s="48">
        <v>41079</v>
      </c>
      <c r="Q380" s="48">
        <v>42266</v>
      </c>
      <c r="R380" s="61">
        <v>10115</v>
      </c>
    </row>
    <row r="381" spans="1:18" s="1" customFormat="1" ht="38.25" x14ac:dyDescent="0.2">
      <c r="A381" s="45" t="s">
        <v>1213</v>
      </c>
      <c r="B381" s="45">
        <v>19503</v>
      </c>
      <c r="C381" s="50" t="s">
        <v>113</v>
      </c>
      <c r="D381" s="50" t="s">
        <v>1214</v>
      </c>
      <c r="E381" s="80" t="s">
        <v>585</v>
      </c>
      <c r="F381" s="50" t="s">
        <v>63</v>
      </c>
      <c r="G381" s="60" t="s">
        <v>1215</v>
      </c>
      <c r="H381" s="88">
        <f>10200+1830</f>
        <v>12030</v>
      </c>
      <c r="I381" s="88"/>
      <c r="J381" s="89"/>
      <c r="K381" s="89">
        <v>12840</v>
      </c>
      <c r="L381" s="89">
        <f t="shared" si="10"/>
        <v>24870</v>
      </c>
      <c r="M381" s="87">
        <f t="shared" si="11"/>
        <v>24870</v>
      </c>
      <c r="N381" s="89"/>
      <c r="O381" s="89"/>
      <c r="P381" s="48">
        <v>41078</v>
      </c>
      <c r="Q381" s="48">
        <v>41808</v>
      </c>
      <c r="R381" s="49">
        <v>9829</v>
      </c>
    </row>
    <row r="382" spans="1:18" s="1" customFormat="1" ht="38.25" x14ac:dyDescent="0.2">
      <c r="A382" s="45" t="s">
        <v>1216</v>
      </c>
      <c r="B382" s="45">
        <v>12025</v>
      </c>
      <c r="C382" s="50" t="s">
        <v>478</v>
      </c>
      <c r="D382" s="50" t="s">
        <v>1217</v>
      </c>
      <c r="E382" s="80" t="s">
        <v>585</v>
      </c>
      <c r="F382" s="50" t="s">
        <v>109</v>
      </c>
      <c r="G382" s="60" t="s">
        <v>1218</v>
      </c>
      <c r="H382" s="88">
        <v>9300</v>
      </c>
      <c r="I382" s="88"/>
      <c r="J382" s="89"/>
      <c r="K382" s="89">
        <v>4700</v>
      </c>
      <c r="L382" s="89">
        <f t="shared" si="10"/>
        <v>14000</v>
      </c>
      <c r="M382" s="87">
        <f t="shared" si="11"/>
        <v>14000</v>
      </c>
      <c r="N382" s="89"/>
      <c r="O382" s="89"/>
      <c r="P382" s="48">
        <v>41079</v>
      </c>
      <c r="Q382" s="48">
        <v>41809</v>
      </c>
      <c r="R382" s="61">
        <v>10146</v>
      </c>
    </row>
    <row r="383" spans="1:18" s="1" customFormat="1" ht="25.5" x14ac:dyDescent="0.2">
      <c r="A383" s="45" t="s">
        <v>1219</v>
      </c>
      <c r="B383" s="45">
        <v>20038</v>
      </c>
      <c r="C383" s="50" t="s">
        <v>478</v>
      </c>
      <c r="D383" s="50" t="s">
        <v>1220</v>
      </c>
      <c r="E383" s="80" t="s">
        <v>585</v>
      </c>
      <c r="F383" s="50" t="s">
        <v>26</v>
      </c>
      <c r="G383" s="60" t="s">
        <v>1221</v>
      </c>
      <c r="H383" s="88">
        <f>1800+2040+2000</f>
        <v>5840</v>
      </c>
      <c r="I383" s="88">
        <v>8640</v>
      </c>
      <c r="J383" s="89"/>
      <c r="K383" s="89"/>
      <c r="L383" s="89">
        <f t="shared" si="10"/>
        <v>14480</v>
      </c>
      <c r="M383" s="87">
        <f t="shared" si="11"/>
        <v>14480</v>
      </c>
      <c r="N383" s="89"/>
      <c r="O383" s="89"/>
      <c r="P383" s="48">
        <v>41079</v>
      </c>
      <c r="Q383" s="48">
        <v>42824</v>
      </c>
      <c r="R383" s="62">
        <v>9931</v>
      </c>
    </row>
    <row r="384" spans="1:18" s="1" customFormat="1" ht="51" x14ac:dyDescent="0.2">
      <c r="A384" s="45" t="s">
        <v>1222</v>
      </c>
      <c r="B384" s="45">
        <v>22627</v>
      </c>
      <c r="C384" s="50" t="s">
        <v>478</v>
      </c>
      <c r="D384" s="50" t="s">
        <v>1223</v>
      </c>
      <c r="E384" s="80" t="s">
        <v>585</v>
      </c>
      <c r="F384" s="50" t="s">
        <v>94</v>
      </c>
      <c r="G384" s="60" t="s">
        <v>1224</v>
      </c>
      <c r="H384" s="88">
        <v>13444</v>
      </c>
      <c r="I384" s="88"/>
      <c r="J384" s="89"/>
      <c r="K384" s="89">
        <v>1495</v>
      </c>
      <c r="L384" s="89">
        <f t="shared" si="10"/>
        <v>14939</v>
      </c>
      <c r="M384" s="87">
        <f t="shared" si="11"/>
        <v>14939</v>
      </c>
      <c r="N384" s="89"/>
      <c r="O384" s="89"/>
      <c r="P384" s="48">
        <v>41079</v>
      </c>
      <c r="Q384" s="48">
        <v>42266</v>
      </c>
      <c r="R384" s="49">
        <v>9886</v>
      </c>
    </row>
    <row r="385" spans="1:18" s="1" customFormat="1" ht="38.25" x14ac:dyDescent="0.2">
      <c r="A385" s="45" t="s">
        <v>1225</v>
      </c>
      <c r="B385" s="45">
        <v>21976</v>
      </c>
      <c r="C385" s="50" t="s">
        <v>231</v>
      </c>
      <c r="D385" s="50" t="s">
        <v>1226</v>
      </c>
      <c r="E385" s="80" t="s">
        <v>585</v>
      </c>
      <c r="F385" s="50" t="s">
        <v>63</v>
      </c>
      <c r="G385" s="60" t="s">
        <v>1227</v>
      </c>
      <c r="H385" s="88"/>
      <c r="I385" s="88">
        <v>8640</v>
      </c>
      <c r="J385" s="89"/>
      <c r="K385" s="89">
        <v>6330</v>
      </c>
      <c r="L385" s="89">
        <f t="shared" si="10"/>
        <v>14970</v>
      </c>
      <c r="M385" s="87">
        <f t="shared" si="11"/>
        <v>14970</v>
      </c>
      <c r="N385" s="89"/>
      <c r="O385" s="89"/>
      <c r="P385" s="48">
        <v>41079</v>
      </c>
      <c r="Q385" s="48">
        <v>42023</v>
      </c>
      <c r="R385" s="49">
        <v>9751</v>
      </c>
    </row>
    <row r="386" spans="1:18" s="1" customFormat="1" ht="38.25" x14ac:dyDescent="0.2">
      <c r="A386" s="45" t="s">
        <v>1228</v>
      </c>
      <c r="B386" s="45">
        <v>22802</v>
      </c>
      <c r="C386" s="50" t="s">
        <v>231</v>
      </c>
      <c r="D386" s="50" t="s">
        <v>1229</v>
      </c>
      <c r="E386" s="80" t="s">
        <v>585</v>
      </c>
      <c r="F386" s="50" t="s">
        <v>167</v>
      </c>
      <c r="G386" s="60" t="s">
        <v>1230</v>
      </c>
      <c r="H386" s="88">
        <f>4910</f>
        <v>4910</v>
      </c>
      <c r="I386" s="88">
        <v>8640</v>
      </c>
      <c r="J386" s="89"/>
      <c r="K386" s="89">
        <v>27800</v>
      </c>
      <c r="L386" s="89">
        <f t="shared" si="10"/>
        <v>41350</v>
      </c>
      <c r="M386" s="87">
        <f t="shared" si="11"/>
        <v>41350</v>
      </c>
      <c r="N386" s="89"/>
      <c r="O386" s="89"/>
      <c r="P386" s="48">
        <v>41079</v>
      </c>
      <c r="Q386" s="48">
        <v>42023</v>
      </c>
      <c r="R386" s="49">
        <v>9748</v>
      </c>
    </row>
    <row r="387" spans="1:18" s="1" customFormat="1" ht="63.75" x14ac:dyDescent="0.2">
      <c r="A387" s="45" t="s">
        <v>1231</v>
      </c>
      <c r="B387" s="45">
        <v>23392</v>
      </c>
      <c r="C387" s="50" t="s">
        <v>231</v>
      </c>
      <c r="D387" s="50" t="s">
        <v>1232</v>
      </c>
      <c r="E387" s="80" t="s">
        <v>585</v>
      </c>
      <c r="F387" s="50" t="s">
        <v>167</v>
      </c>
      <c r="G387" s="60" t="s">
        <v>1233</v>
      </c>
      <c r="H387" s="88">
        <f>4319.31</f>
        <v>4319.3100000000004</v>
      </c>
      <c r="I387" s="88">
        <v>8640</v>
      </c>
      <c r="J387" s="89"/>
      <c r="K387" s="89">
        <v>5880</v>
      </c>
      <c r="L387" s="89">
        <f t="shared" si="10"/>
        <v>18839.310000000001</v>
      </c>
      <c r="M387" s="87">
        <f t="shared" si="11"/>
        <v>18839.310000000001</v>
      </c>
      <c r="N387" s="89"/>
      <c r="O387" s="89"/>
      <c r="P387" s="48">
        <v>41079</v>
      </c>
      <c r="Q387" s="48">
        <v>42023</v>
      </c>
      <c r="R387" s="49">
        <v>9758</v>
      </c>
    </row>
    <row r="388" spans="1:18" s="1" customFormat="1" ht="25.5" x14ac:dyDescent="0.2">
      <c r="A388" s="45" t="s">
        <v>1234</v>
      </c>
      <c r="B388" s="45">
        <v>23606</v>
      </c>
      <c r="C388" s="50" t="s">
        <v>231</v>
      </c>
      <c r="D388" s="50" t="s">
        <v>1235</v>
      </c>
      <c r="E388" s="80" t="s">
        <v>585</v>
      </c>
      <c r="F388" s="50" t="s">
        <v>167</v>
      </c>
      <c r="G388" s="60" t="s">
        <v>1236</v>
      </c>
      <c r="H388" s="88">
        <f>400+672</f>
        <v>1072</v>
      </c>
      <c r="I388" s="88">
        <v>8640</v>
      </c>
      <c r="J388" s="89"/>
      <c r="K388" s="89">
        <v>15180</v>
      </c>
      <c r="L388" s="89">
        <f t="shared" si="10"/>
        <v>24892</v>
      </c>
      <c r="M388" s="87">
        <f t="shared" si="11"/>
        <v>24892</v>
      </c>
      <c r="N388" s="89"/>
      <c r="O388" s="89"/>
      <c r="P388" s="48">
        <v>41079</v>
      </c>
      <c r="Q388" s="48">
        <v>41809</v>
      </c>
      <c r="R388" s="49">
        <v>9744</v>
      </c>
    </row>
    <row r="389" spans="1:18" s="1" customFormat="1" ht="51" x14ac:dyDescent="0.2">
      <c r="A389" s="45" t="s">
        <v>1237</v>
      </c>
      <c r="B389" s="45">
        <v>22355</v>
      </c>
      <c r="C389" s="50" t="s">
        <v>231</v>
      </c>
      <c r="D389" s="50" t="s">
        <v>1238</v>
      </c>
      <c r="E389" s="80" t="s">
        <v>585</v>
      </c>
      <c r="F389" s="50" t="s">
        <v>71</v>
      </c>
      <c r="G389" s="60" t="s">
        <v>1239</v>
      </c>
      <c r="H389" s="88">
        <v>5000</v>
      </c>
      <c r="I389" s="88">
        <v>4320</v>
      </c>
      <c r="J389" s="89"/>
      <c r="K389" s="89">
        <v>4600</v>
      </c>
      <c r="L389" s="89">
        <f t="shared" si="10"/>
        <v>13920</v>
      </c>
      <c r="M389" s="87">
        <f t="shared" si="11"/>
        <v>13920</v>
      </c>
      <c r="N389" s="89"/>
      <c r="O389" s="89"/>
      <c r="P389" s="48">
        <v>41079</v>
      </c>
      <c r="Q389" s="48">
        <v>42023</v>
      </c>
      <c r="R389" s="49">
        <v>9672</v>
      </c>
    </row>
    <row r="390" spans="1:18" s="1" customFormat="1" ht="25.5" x14ac:dyDescent="0.2">
      <c r="A390" s="45" t="s">
        <v>1240</v>
      </c>
      <c r="B390" s="45">
        <v>22692</v>
      </c>
      <c r="C390" s="50" t="s">
        <v>1241</v>
      </c>
      <c r="D390" s="50" t="s">
        <v>1242</v>
      </c>
      <c r="E390" s="80" t="s">
        <v>585</v>
      </c>
      <c r="F390" s="50" t="s">
        <v>71</v>
      </c>
      <c r="G390" s="60" t="s">
        <v>1243</v>
      </c>
      <c r="H390" s="88"/>
      <c r="I390" s="88">
        <v>8640</v>
      </c>
      <c r="J390" s="89"/>
      <c r="K390" s="89">
        <f>5348-1748</f>
        <v>3600</v>
      </c>
      <c r="L390" s="89">
        <f t="shared" si="10"/>
        <v>12240</v>
      </c>
      <c r="M390" s="87">
        <f t="shared" si="11"/>
        <v>12240</v>
      </c>
      <c r="N390" s="89"/>
      <c r="O390" s="89"/>
      <c r="P390" s="48">
        <v>41078</v>
      </c>
      <c r="Q390" s="48">
        <v>41991</v>
      </c>
      <c r="R390" s="49">
        <v>9823</v>
      </c>
    </row>
    <row r="391" spans="1:18" s="1" customFormat="1" ht="63.75" x14ac:dyDescent="0.2">
      <c r="A391" s="45" t="s">
        <v>1244</v>
      </c>
      <c r="B391" s="57">
        <v>4981</v>
      </c>
      <c r="C391" s="50" t="s">
        <v>43</v>
      </c>
      <c r="D391" s="60" t="s">
        <v>1245</v>
      </c>
      <c r="E391" s="80" t="s">
        <v>585</v>
      </c>
      <c r="F391" s="50" t="s">
        <v>94</v>
      </c>
      <c r="G391" s="60" t="s">
        <v>1246</v>
      </c>
      <c r="H391" s="88">
        <v>15000</v>
      </c>
      <c r="I391" s="88"/>
      <c r="J391" s="89"/>
      <c r="K391" s="89"/>
      <c r="L391" s="89">
        <f t="shared" ref="L391:L454" si="12">H391+I391+J391+K391</f>
        <v>15000</v>
      </c>
      <c r="M391" s="87">
        <f t="shared" ref="M391:M454" si="13">SUM(L391)</f>
        <v>15000</v>
      </c>
      <c r="N391" s="89"/>
      <c r="O391" s="89"/>
      <c r="P391" s="48">
        <v>41088</v>
      </c>
      <c r="Q391" s="48">
        <v>41818</v>
      </c>
      <c r="R391" s="49">
        <v>10904</v>
      </c>
    </row>
    <row r="392" spans="1:18" s="1" customFormat="1" ht="51" x14ac:dyDescent="0.2">
      <c r="A392" s="45" t="s">
        <v>1247</v>
      </c>
      <c r="B392" s="57">
        <v>5929</v>
      </c>
      <c r="C392" s="50" t="s">
        <v>43</v>
      </c>
      <c r="D392" s="60" t="s">
        <v>1248</v>
      </c>
      <c r="E392" s="80" t="s">
        <v>585</v>
      </c>
      <c r="F392" s="50" t="s">
        <v>94</v>
      </c>
      <c r="G392" s="60" t="s">
        <v>1249</v>
      </c>
      <c r="H392" s="88">
        <f>2910+9540</f>
        <v>12450</v>
      </c>
      <c r="I392" s="88"/>
      <c r="J392" s="89"/>
      <c r="K392" s="89">
        <v>22790</v>
      </c>
      <c r="L392" s="89">
        <f t="shared" si="12"/>
        <v>35240</v>
      </c>
      <c r="M392" s="87">
        <f t="shared" si="13"/>
        <v>35240</v>
      </c>
      <c r="N392" s="89"/>
      <c r="O392" s="89"/>
      <c r="P392" s="48">
        <v>41142</v>
      </c>
      <c r="Q392" s="48">
        <v>42390</v>
      </c>
      <c r="R392" s="49">
        <v>11002</v>
      </c>
    </row>
    <row r="393" spans="1:18" s="1" customFormat="1" ht="25.5" x14ac:dyDescent="0.2">
      <c r="A393" s="45" t="s">
        <v>1250</v>
      </c>
      <c r="B393" s="45">
        <v>1610</v>
      </c>
      <c r="C393" s="50" t="s">
        <v>35</v>
      </c>
      <c r="D393" s="50" t="s">
        <v>1251</v>
      </c>
      <c r="E393" s="80" t="s">
        <v>308</v>
      </c>
      <c r="F393" s="50" t="s">
        <v>94</v>
      </c>
      <c r="G393" s="50" t="s">
        <v>1252</v>
      </c>
      <c r="H393" s="88">
        <v>12736</v>
      </c>
      <c r="I393" s="88"/>
      <c r="J393" s="89"/>
      <c r="K393" s="89"/>
      <c r="L393" s="89">
        <f t="shared" si="12"/>
        <v>12736</v>
      </c>
      <c r="M393" s="87">
        <f t="shared" si="13"/>
        <v>12736</v>
      </c>
      <c r="N393" s="89"/>
      <c r="O393" s="89"/>
      <c r="P393" s="48">
        <v>41109</v>
      </c>
      <c r="Q393" s="48">
        <v>41293</v>
      </c>
      <c r="R393" s="49">
        <v>10777</v>
      </c>
    </row>
    <row r="394" spans="1:18" s="1" customFormat="1" ht="25.5" x14ac:dyDescent="0.2">
      <c r="A394" s="45" t="s">
        <v>1253</v>
      </c>
      <c r="B394" s="57">
        <v>9773</v>
      </c>
      <c r="C394" s="50" t="s">
        <v>43</v>
      </c>
      <c r="D394" s="60" t="s">
        <v>1254</v>
      </c>
      <c r="E394" s="80" t="s">
        <v>585</v>
      </c>
      <c r="F394" s="50" t="s">
        <v>398</v>
      </c>
      <c r="G394" s="60" t="s">
        <v>1255</v>
      </c>
      <c r="H394" s="88">
        <f>480+1098+470</f>
        <v>2048</v>
      </c>
      <c r="I394" s="88"/>
      <c r="J394" s="89"/>
      <c r="K394" s="89">
        <f>2300+3600</f>
        <v>5900</v>
      </c>
      <c r="L394" s="89">
        <f t="shared" si="12"/>
        <v>7948</v>
      </c>
      <c r="M394" s="87">
        <f t="shared" si="13"/>
        <v>7948</v>
      </c>
      <c r="N394" s="89"/>
      <c r="O394" s="89"/>
      <c r="P394" s="48">
        <v>41088</v>
      </c>
      <c r="Q394" s="48">
        <v>42459</v>
      </c>
      <c r="R394" s="49">
        <v>10623</v>
      </c>
    </row>
    <row r="395" spans="1:18" s="1" customFormat="1" ht="38.25" x14ac:dyDescent="0.2">
      <c r="A395" s="45" t="s">
        <v>1256</v>
      </c>
      <c r="B395" s="57">
        <v>12056</v>
      </c>
      <c r="C395" s="50" t="s">
        <v>43</v>
      </c>
      <c r="D395" s="60" t="s">
        <v>1257</v>
      </c>
      <c r="E395" s="80" t="s">
        <v>585</v>
      </c>
      <c r="F395" s="50" t="s">
        <v>87</v>
      </c>
      <c r="G395" s="60" t="s">
        <v>1258</v>
      </c>
      <c r="H395" s="88">
        <f>620+3580+360</f>
        <v>4560</v>
      </c>
      <c r="I395" s="88">
        <v>4320</v>
      </c>
      <c r="J395" s="89"/>
      <c r="K395" s="89">
        <v>1900</v>
      </c>
      <c r="L395" s="89">
        <f t="shared" si="12"/>
        <v>10780</v>
      </c>
      <c r="M395" s="87">
        <f t="shared" si="13"/>
        <v>10780</v>
      </c>
      <c r="N395" s="89"/>
      <c r="O395" s="89"/>
      <c r="P395" s="48">
        <v>41088</v>
      </c>
      <c r="Q395" s="48">
        <v>42643</v>
      </c>
      <c r="R395" s="49">
        <v>10505</v>
      </c>
    </row>
    <row r="396" spans="1:18" s="1" customFormat="1" ht="51" x14ac:dyDescent="0.2">
      <c r="A396" s="45" t="s">
        <v>1259</v>
      </c>
      <c r="B396" s="57">
        <v>13427</v>
      </c>
      <c r="C396" s="50" t="s">
        <v>43</v>
      </c>
      <c r="D396" s="60" t="s">
        <v>1260</v>
      </c>
      <c r="E396" s="80" t="s">
        <v>585</v>
      </c>
      <c r="F396" s="50" t="s">
        <v>109</v>
      </c>
      <c r="G396" s="60" t="s">
        <v>1261</v>
      </c>
      <c r="H396" s="88">
        <f>20400</f>
        <v>20400</v>
      </c>
      <c r="I396" s="88">
        <v>4320</v>
      </c>
      <c r="J396" s="89"/>
      <c r="K396" s="89">
        <v>20000</v>
      </c>
      <c r="L396" s="89">
        <f t="shared" si="12"/>
        <v>44720</v>
      </c>
      <c r="M396" s="87">
        <f t="shared" si="13"/>
        <v>44720</v>
      </c>
      <c r="N396" s="89"/>
      <c r="O396" s="89"/>
      <c r="P396" s="48">
        <v>41088</v>
      </c>
      <c r="Q396" s="48">
        <v>42643</v>
      </c>
      <c r="R396" s="49">
        <v>10624</v>
      </c>
    </row>
    <row r="397" spans="1:18" s="1" customFormat="1" ht="25.5" x14ac:dyDescent="0.2">
      <c r="A397" s="45" t="s">
        <v>1262</v>
      </c>
      <c r="B397" s="57">
        <v>14443</v>
      </c>
      <c r="C397" s="50" t="s">
        <v>43</v>
      </c>
      <c r="D397" s="60" t="s">
        <v>1263</v>
      </c>
      <c r="E397" s="80" t="s">
        <v>585</v>
      </c>
      <c r="F397" s="50" t="s">
        <v>87</v>
      </c>
      <c r="G397" s="60" t="s">
        <v>1264</v>
      </c>
      <c r="H397" s="88">
        <v>13096</v>
      </c>
      <c r="I397" s="88"/>
      <c r="J397" s="89"/>
      <c r="K397" s="89"/>
      <c r="L397" s="89">
        <f t="shared" si="12"/>
        <v>13096</v>
      </c>
      <c r="M397" s="87">
        <f t="shared" si="13"/>
        <v>13096</v>
      </c>
      <c r="N397" s="89"/>
      <c r="O397" s="89"/>
      <c r="P397" s="48">
        <v>41142</v>
      </c>
      <c r="Q397" s="48">
        <v>41872</v>
      </c>
      <c r="R397" s="49">
        <v>11004</v>
      </c>
    </row>
    <row r="398" spans="1:18" s="1" customFormat="1" ht="38.25" x14ac:dyDescent="0.2">
      <c r="A398" s="45" t="s">
        <v>1265</v>
      </c>
      <c r="B398" s="57">
        <v>15078</v>
      </c>
      <c r="C398" s="50" t="s">
        <v>43</v>
      </c>
      <c r="D398" s="60" t="s">
        <v>1266</v>
      </c>
      <c r="E398" s="80" t="s">
        <v>585</v>
      </c>
      <c r="F398" s="50" t="s">
        <v>398</v>
      </c>
      <c r="G398" s="60" t="s">
        <v>1267</v>
      </c>
      <c r="H398" s="88">
        <f>1920+44000+1000</f>
        <v>46920</v>
      </c>
      <c r="I398" s="88"/>
      <c r="J398" s="89"/>
      <c r="K398" s="89"/>
      <c r="L398" s="89">
        <f t="shared" si="12"/>
        <v>46920</v>
      </c>
      <c r="M398" s="87">
        <f t="shared" si="13"/>
        <v>46920</v>
      </c>
      <c r="N398" s="89"/>
      <c r="O398" s="89"/>
      <c r="P398" s="48">
        <v>41088</v>
      </c>
      <c r="Q398" s="48">
        <v>42794</v>
      </c>
      <c r="R398" s="49">
        <v>10812</v>
      </c>
    </row>
    <row r="399" spans="1:18" s="1" customFormat="1" ht="51" x14ac:dyDescent="0.2">
      <c r="A399" s="45" t="s">
        <v>1268</v>
      </c>
      <c r="B399" s="57">
        <v>15527</v>
      </c>
      <c r="C399" s="50" t="s">
        <v>43</v>
      </c>
      <c r="D399" s="60" t="s">
        <v>1269</v>
      </c>
      <c r="E399" s="80" t="s">
        <v>585</v>
      </c>
      <c r="F399" s="50" t="s">
        <v>63</v>
      </c>
      <c r="G399" s="60" t="s">
        <v>1270</v>
      </c>
      <c r="H399" s="88">
        <f>4000+28535+3544</f>
        <v>36079</v>
      </c>
      <c r="I399" s="88"/>
      <c r="J399" s="89"/>
      <c r="K399" s="89">
        <v>9600</v>
      </c>
      <c r="L399" s="89">
        <f t="shared" si="12"/>
        <v>45679</v>
      </c>
      <c r="M399" s="87">
        <f t="shared" si="13"/>
        <v>45679</v>
      </c>
      <c r="N399" s="89"/>
      <c r="O399" s="89"/>
      <c r="P399" s="48">
        <v>41088</v>
      </c>
      <c r="Q399" s="48">
        <v>42001</v>
      </c>
      <c r="R399" s="49">
        <v>10566</v>
      </c>
    </row>
    <row r="400" spans="1:18" s="1" customFormat="1" ht="25.5" x14ac:dyDescent="0.2">
      <c r="A400" s="45" t="s">
        <v>1271</v>
      </c>
      <c r="B400" s="57">
        <v>15768</v>
      </c>
      <c r="C400" s="50" t="s">
        <v>43</v>
      </c>
      <c r="D400" s="60" t="s">
        <v>1272</v>
      </c>
      <c r="E400" s="80" t="s">
        <v>585</v>
      </c>
      <c r="F400" s="50" t="s">
        <v>167</v>
      </c>
      <c r="G400" s="60" t="s">
        <v>1273</v>
      </c>
      <c r="H400" s="88">
        <f>5040+6460</f>
        <v>11500</v>
      </c>
      <c r="I400" s="88"/>
      <c r="J400" s="89"/>
      <c r="K400" s="89">
        <v>3500</v>
      </c>
      <c r="L400" s="89">
        <f t="shared" si="12"/>
        <v>15000</v>
      </c>
      <c r="M400" s="87">
        <f t="shared" si="13"/>
        <v>15000</v>
      </c>
      <c r="N400" s="89"/>
      <c r="O400" s="89"/>
      <c r="P400" s="48">
        <v>41088</v>
      </c>
      <c r="Q400" s="48">
        <v>42914</v>
      </c>
      <c r="R400" s="49">
        <v>10806</v>
      </c>
    </row>
    <row r="401" spans="1:18" s="1" customFormat="1" ht="25.5" x14ac:dyDescent="0.2">
      <c r="A401" s="45" t="s">
        <v>1274</v>
      </c>
      <c r="B401" s="57">
        <v>16611</v>
      </c>
      <c r="C401" s="50" t="s">
        <v>43</v>
      </c>
      <c r="D401" s="60" t="s">
        <v>1275</v>
      </c>
      <c r="E401" s="80" t="s">
        <v>585</v>
      </c>
      <c r="F401" s="50" t="s">
        <v>167</v>
      </c>
      <c r="G401" s="60" t="s">
        <v>1276</v>
      </c>
      <c r="H401" s="88">
        <v>24431</v>
      </c>
      <c r="I401" s="88"/>
      <c r="J401" s="89"/>
      <c r="K401" s="89"/>
      <c r="L401" s="89">
        <f t="shared" si="12"/>
        <v>24431</v>
      </c>
      <c r="M401" s="87">
        <f t="shared" si="13"/>
        <v>24431</v>
      </c>
      <c r="N401" s="89"/>
      <c r="O401" s="89"/>
      <c r="P401" s="48">
        <v>41142</v>
      </c>
      <c r="Q401" s="48">
        <v>42824</v>
      </c>
      <c r="R401" s="49">
        <v>11005</v>
      </c>
    </row>
    <row r="402" spans="1:18" s="1" customFormat="1" ht="51" x14ac:dyDescent="0.2">
      <c r="A402" s="45" t="s">
        <v>1277</v>
      </c>
      <c r="B402" s="57">
        <v>17901</v>
      </c>
      <c r="C402" s="50" t="s">
        <v>43</v>
      </c>
      <c r="D402" s="60" t="s">
        <v>1278</v>
      </c>
      <c r="E402" s="80" t="s">
        <v>585</v>
      </c>
      <c r="F402" s="50" t="s">
        <v>109</v>
      </c>
      <c r="G402" s="60" t="s">
        <v>1279</v>
      </c>
      <c r="H402" s="88">
        <v>23500</v>
      </c>
      <c r="I402" s="88"/>
      <c r="J402" s="89"/>
      <c r="K402" s="89"/>
      <c r="L402" s="89">
        <f t="shared" si="12"/>
        <v>23500</v>
      </c>
      <c r="M402" s="87">
        <f t="shared" si="13"/>
        <v>23500</v>
      </c>
      <c r="N402" s="89"/>
      <c r="O402" s="89"/>
      <c r="P402" s="48">
        <v>41093</v>
      </c>
      <c r="Q402" s="48">
        <v>42459</v>
      </c>
      <c r="R402" s="49">
        <v>10795</v>
      </c>
    </row>
    <row r="403" spans="1:18" s="1" customFormat="1" ht="38.25" x14ac:dyDescent="0.2">
      <c r="A403" s="45" t="s">
        <v>1280</v>
      </c>
      <c r="B403" s="57">
        <v>18085</v>
      </c>
      <c r="C403" s="50" t="s">
        <v>43</v>
      </c>
      <c r="D403" s="60" t="s">
        <v>1281</v>
      </c>
      <c r="E403" s="80" t="s">
        <v>585</v>
      </c>
      <c r="F403" s="50" t="s">
        <v>71</v>
      </c>
      <c r="G403" s="60" t="s">
        <v>1282</v>
      </c>
      <c r="H403" s="88">
        <f>9723.5+1458.27</f>
        <v>11181.77</v>
      </c>
      <c r="I403" s="88"/>
      <c r="J403" s="89"/>
      <c r="K403" s="89">
        <v>13806.8</v>
      </c>
      <c r="L403" s="89">
        <f t="shared" si="12"/>
        <v>24988.57</v>
      </c>
      <c r="M403" s="87">
        <f t="shared" si="13"/>
        <v>24988.57</v>
      </c>
      <c r="N403" s="89"/>
      <c r="O403" s="89"/>
      <c r="P403" s="48">
        <v>41088</v>
      </c>
      <c r="Q403" s="48">
        <v>42459</v>
      </c>
      <c r="R403" s="49">
        <v>10532</v>
      </c>
    </row>
    <row r="404" spans="1:18" s="1" customFormat="1" ht="38.25" x14ac:dyDescent="0.2">
      <c r="A404" s="45" t="s">
        <v>1283</v>
      </c>
      <c r="B404" s="57">
        <v>19127</v>
      </c>
      <c r="C404" s="50" t="s">
        <v>43</v>
      </c>
      <c r="D404" s="60" t="s">
        <v>1284</v>
      </c>
      <c r="E404" s="80" t="s">
        <v>585</v>
      </c>
      <c r="F404" s="50" t="s">
        <v>94</v>
      </c>
      <c r="G404" s="60" t="s">
        <v>1285</v>
      </c>
      <c r="H404" s="88">
        <v>25000</v>
      </c>
      <c r="I404" s="88"/>
      <c r="J404" s="89"/>
      <c r="K404" s="89"/>
      <c r="L404" s="89">
        <f t="shared" si="12"/>
        <v>25000</v>
      </c>
      <c r="M404" s="87">
        <f t="shared" si="13"/>
        <v>25000</v>
      </c>
      <c r="N404" s="89"/>
      <c r="O404" s="89"/>
      <c r="P404" s="48">
        <v>41093</v>
      </c>
      <c r="Q404" s="48">
        <v>42795</v>
      </c>
      <c r="R404" s="49">
        <v>10416</v>
      </c>
    </row>
    <row r="405" spans="1:18" s="1" customFormat="1" ht="76.5" x14ac:dyDescent="0.2">
      <c r="A405" s="45" t="s">
        <v>1286</v>
      </c>
      <c r="B405" s="57">
        <v>19281</v>
      </c>
      <c r="C405" s="50" t="s">
        <v>43</v>
      </c>
      <c r="D405" s="60" t="s">
        <v>1287</v>
      </c>
      <c r="E405" s="80" t="s">
        <v>585</v>
      </c>
      <c r="F405" s="50" t="s">
        <v>87</v>
      </c>
      <c r="G405" s="60" t="s">
        <v>1288</v>
      </c>
      <c r="H405" s="88">
        <f>45375.4+600</f>
        <v>45975.4</v>
      </c>
      <c r="I405" s="88"/>
      <c r="J405" s="89"/>
      <c r="K405" s="89"/>
      <c r="L405" s="89">
        <f t="shared" si="12"/>
        <v>45975.4</v>
      </c>
      <c r="M405" s="87">
        <f t="shared" si="13"/>
        <v>45975.4</v>
      </c>
      <c r="N405" s="89"/>
      <c r="O405" s="89"/>
      <c r="P405" s="48">
        <v>41088</v>
      </c>
      <c r="Q405" s="48">
        <v>42488</v>
      </c>
      <c r="R405" s="49">
        <v>10580</v>
      </c>
    </row>
    <row r="406" spans="1:18" s="1" customFormat="1" ht="51" x14ac:dyDescent="0.2">
      <c r="A406" s="45" t="s">
        <v>1289</v>
      </c>
      <c r="B406" s="57">
        <v>21404</v>
      </c>
      <c r="C406" s="50" t="s">
        <v>43</v>
      </c>
      <c r="D406" s="60" t="s">
        <v>1290</v>
      </c>
      <c r="E406" s="80" t="s">
        <v>585</v>
      </c>
      <c r="F406" s="50" t="s">
        <v>63</v>
      </c>
      <c r="G406" s="60" t="s">
        <v>1291</v>
      </c>
      <c r="H406" s="88">
        <f>1900</f>
        <v>1900</v>
      </c>
      <c r="I406" s="88"/>
      <c r="J406" s="89"/>
      <c r="K406" s="89">
        <v>12950</v>
      </c>
      <c r="L406" s="89">
        <f t="shared" si="12"/>
        <v>14850</v>
      </c>
      <c r="M406" s="87">
        <f t="shared" si="13"/>
        <v>14850</v>
      </c>
      <c r="N406" s="89"/>
      <c r="O406" s="89"/>
      <c r="P406" s="48">
        <v>41093</v>
      </c>
      <c r="Q406" s="63">
        <v>42459</v>
      </c>
      <c r="R406" s="76">
        <v>10796</v>
      </c>
    </row>
    <row r="407" spans="1:18" s="1" customFormat="1" ht="89.25" x14ac:dyDescent="0.2">
      <c r="A407" s="45" t="s">
        <v>1292</v>
      </c>
      <c r="B407" s="57">
        <v>21914</v>
      </c>
      <c r="C407" s="50" t="s">
        <v>43</v>
      </c>
      <c r="D407" s="60" t="s">
        <v>1293</v>
      </c>
      <c r="E407" s="80" t="s">
        <v>585</v>
      </c>
      <c r="F407" s="50" t="s">
        <v>94</v>
      </c>
      <c r="G407" s="60" t="s">
        <v>1294</v>
      </c>
      <c r="H407" s="88">
        <f>10836+5218</f>
        <v>16054</v>
      </c>
      <c r="I407" s="88"/>
      <c r="J407" s="89"/>
      <c r="K407" s="89">
        <v>33866.11</v>
      </c>
      <c r="L407" s="89">
        <f t="shared" si="12"/>
        <v>49920.11</v>
      </c>
      <c r="M407" s="87">
        <f t="shared" si="13"/>
        <v>49920.11</v>
      </c>
      <c r="N407" s="89"/>
      <c r="O407" s="89"/>
      <c r="P407" s="48">
        <v>41093</v>
      </c>
      <c r="Q407" s="48">
        <v>42824</v>
      </c>
      <c r="R407" s="49">
        <v>10520</v>
      </c>
    </row>
    <row r="408" spans="1:18" s="1" customFormat="1" ht="38.25" x14ac:dyDescent="0.2">
      <c r="A408" s="45" t="s">
        <v>1295</v>
      </c>
      <c r="B408" s="57">
        <v>22122</v>
      </c>
      <c r="C408" s="50" t="s">
        <v>43</v>
      </c>
      <c r="D408" s="60" t="s">
        <v>1296</v>
      </c>
      <c r="E408" s="80" t="s">
        <v>585</v>
      </c>
      <c r="F408" s="50" t="s">
        <v>63</v>
      </c>
      <c r="G408" s="60" t="s">
        <v>1297</v>
      </c>
      <c r="H408" s="88">
        <v>25000</v>
      </c>
      <c r="I408" s="88"/>
      <c r="J408" s="89"/>
      <c r="K408" s="89"/>
      <c r="L408" s="89">
        <f t="shared" si="12"/>
        <v>25000</v>
      </c>
      <c r="M408" s="87">
        <f t="shared" si="13"/>
        <v>25000</v>
      </c>
      <c r="N408" s="89"/>
      <c r="O408" s="89"/>
      <c r="P408" s="48">
        <v>41088</v>
      </c>
      <c r="Q408" s="48">
        <v>42643</v>
      </c>
      <c r="R408" s="49">
        <v>10780</v>
      </c>
    </row>
    <row r="409" spans="1:18" s="1" customFormat="1" ht="51" x14ac:dyDescent="0.2">
      <c r="A409" s="45" t="s">
        <v>1298</v>
      </c>
      <c r="B409" s="57">
        <v>22261</v>
      </c>
      <c r="C409" s="50" t="s">
        <v>43</v>
      </c>
      <c r="D409" s="60" t="s">
        <v>1299</v>
      </c>
      <c r="E409" s="80" t="s">
        <v>585</v>
      </c>
      <c r="F409" s="50" t="s">
        <v>94</v>
      </c>
      <c r="G409" s="60" t="s">
        <v>1300</v>
      </c>
      <c r="H409" s="88">
        <v>25000</v>
      </c>
      <c r="I409" s="88"/>
      <c r="J409" s="89"/>
      <c r="K409" s="89">
        <v>20000</v>
      </c>
      <c r="L409" s="89">
        <f t="shared" si="12"/>
        <v>45000</v>
      </c>
      <c r="M409" s="87">
        <f t="shared" si="13"/>
        <v>45000</v>
      </c>
      <c r="N409" s="89"/>
      <c r="O409" s="89"/>
      <c r="P409" s="48">
        <v>41127</v>
      </c>
      <c r="Q409" s="48">
        <v>42684</v>
      </c>
      <c r="R409" s="49">
        <v>10912</v>
      </c>
    </row>
    <row r="410" spans="1:18" s="1" customFormat="1" ht="51" x14ac:dyDescent="0.2">
      <c r="A410" s="45" t="s">
        <v>1301</v>
      </c>
      <c r="B410" s="57">
        <v>22374</v>
      </c>
      <c r="C410" s="50" t="s">
        <v>43</v>
      </c>
      <c r="D410" s="60" t="s">
        <v>1302</v>
      </c>
      <c r="E410" s="80" t="s">
        <v>585</v>
      </c>
      <c r="F410" s="50" t="s">
        <v>71</v>
      </c>
      <c r="G410" s="60" t="s">
        <v>1303</v>
      </c>
      <c r="H410" s="88">
        <v>2000</v>
      </c>
      <c r="I410" s="88"/>
      <c r="J410" s="89"/>
      <c r="K410" s="89">
        <v>11546</v>
      </c>
      <c r="L410" s="89">
        <f t="shared" si="12"/>
        <v>13546</v>
      </c>
      <c r="M410" s="87">
        <f t="shared" si="13"/>
        <v>13546</v>
      </c>
      <c r="N410" s="89"/>
      <c r="O410" s="89"/>
      <c r="P410" s="48">
        <v>41088</v>
      </c>
      <c r="Q410" s="48">
        <v>42643</v>
      </c>
      <c r="R410" s="49">
        <v>10503</v>
      </c>
    </row>
    <row r="411" spans="1:18" s="1" customFormat="1" ht="51" x14ac:dyDescent="0.2">
      <c r="A411" s="45" t="s">
        <v>1304</v>
      </c>
      <c r="B411" s="57">
        <v>22377</v>
      </c>
      <c r="C411" s="50" t="s">
        <v>43</v>
      </c>
      <c r="D411" s="60" t="s">
        <v>1305</v>
      </c>
      <c r="E411" s="80" t="s">
        <v>585</v>
      </c>
      <c r="F411" s="50" t="s">
        <v>94</v>
      </c>
      <c r="G411" s="60" t="s">
        <v>1306</v>
      </c>
      <c r="H411" s="88">
        <v>49800</v>
      </c>
      <c r="I411" s="88"/>
      <c r="J411" s="89"/>
      <c r="K411" s="89"/>
      <c r="L411" s="89">
        <f t="shared" si="12"/>
        <v>49800</v>
      </c>
      <c r="M411" s="87">
        <f t="shared" si="13"/>
        <v>49800</v>
      </c>
      <c r="N411" s="89"/>
      <c r="O411" s="89"/>
      <c r="P411" s="48">
        <v>41093</v>
      </c>
      <c r="Q411" s="48">
        <v>41823</v>
      </c>
      <c r="R411" s="49">
        <v>10587</v>
      </c>
    </row>
    <row r="412" spans="1:18" s="1" customFormat="1" ht="51" x14ac:dyDescent="0.2">
      <c r="A412" s="45" t="s">
        <v>1307</v>
      </c>
      <c r="B412" s="57">
        <v>22429</v>
      </c>
      <c r="C412" s="50" t="s">
        <v>43</v>
      </c>
      <c r="D412" s="60" t="s">
        <v>1308</v>
      </c>
      <c r="E412" s="80" t="s">
        <v>585</v>
      </c>
      <c r="F412" s="50" t="s">
        <v>26</v>
      </c>
      <c r="G412" s="60" t="s">
        <v>1309</v>
      </c>
      <c r="H412" s="88">
        <f>8415+1660+24600</f>
        <v>34675</v>
      </c>
      <c r="I412" s="88">
        <v>8640</v>
      </c>
      <c r="J412" s="89"/>
      <c r="K412" s="89"/>
      <c r="L412" s="89">
        <f t="shared" si="12"/>
        <v>43315</v>
      </c>
      <c r="M412" s="87">
        <f t="shared" si="13"/>
        <v>43315</v>
      </c>
      <c r="N412" s="89"/>
      <c r="O412" s="89"/>
      <c r="P412" s="48">
        <v>41142</v>
      </c>
      <c r="Q412" s="48">
        <v>41872</v>
      </c>
      <c r="R412" s="49">
        <v>11007</v>
      </c>
    </row>
    <row r="413" spans="1:18" s="1" customFormat="1" ht="38.25" x14ac:dyDescent="0.2">
      <c r="A413" s="45" t="s">
        <v>1310</v>
      </c>
      <c r="B413" s="57">
        <v>22488</v>
      </c>
      <c r="C413" s="50" t="s">
        <v>43</v>
      </c>
      <c r="D413" s="60" t="s">
        <v>1311</v>
      </c>
      <c r="E413" s="80" t="s">
        <v>585</v>
      </c>
      <c r="F413" s="50" t="s">
        <v>94</v>
      </c>
      <c r="G413" s="60" t="s">
        <v>1312</v>
      </c>
      <c r="H413" s="88">
        <v>35000</v>
      </c>
      <c r="I413" s="88"/>
      <c r="J413" s="89"/>
      <c r="K413" s="89">
        <v>10000</v>
      </c>
      <c r="L413" s="89">
        <f t="shared" si="12"/>
        <v>45000</v>
      </c>
      <c r="M413" s="87">
        <f t="shared" si="13"/>
        <v>45000</v>
      </c>
      <c r="N413" s="89"/>
      <c r="O413" s="89"/>
      <c r="P413" s="48">
        <v>41088</v>
      </c>
      <c r="Q413" s="48">
        <v>42734</v>
      </c>
      <c r="R413" s="49">
        <v>10890</v>
      </c>
    </row>
    <row r="414" spans="1:18" s="1" customFormat="1" ht="38.25" x14ac:dyDescent="0.2">
      <c r="A414" s="45" t="s">
        <v>1313</v>
      </c>
      <c r="B414" s="57">
        <v>22509</v>
      </c>
      <c r="C414" s="50" t="s">
        <v>43</v>
      </c>
      <c r="D414" s="60" t="s">
        <v>1314</v>
      </c>
      <c r="E414" s="80" t="s">
        <v>585</v>
      </c>
      <c r="F414" s="50" t="s">
        <v>63</v>
      </c>
      <c r="G414" s="60" t="s">
        <v>1315</v>
      </c>
      <c r="H414" s="88">
        <v>50000</v>
      </c>
      <c r="I414" s="88"/>
      <c r="J414" s="89"/>
      <c r="K414" s="89"/>
      <c r="L414" s="89">
        <f t="shared" si="12"/>
        <v>50000</v>
      </c>
      <c r="M414" s="87">
        <f t="shared" si="13"/>
        <v>50000</v>
      </c>
      <c r="N414" s="89"/>
      <c r="O414" s="89"/>
      <c r="P414" s="48">
        <v>41093</v>
      </c>
      <c r="Q414" s="48">
        <v>42459</v>
      </c>
      <c r="R414" s="49">
        <v>10887</v>
      </c>
    </row>
    <row r="415" spans="1:18" s="1" customFormat="1" ht="51" x14ac:dyDescent="0.2">
      <c r="A415" s="45" t="s">
        <v>1316</v>
      </c>
      <c r="B415" s="57">
        <v>22617</v>
      </c>
      <c r="C415" s="50" t="s">
        <v>43</v>
      </c>
      <c r="D415" s="60" t="s">
        <v>1317</v>
      </c>
      <c r="E415" s="80" t="s">
        <v>585</v>
      </c>
      <c r="F415" s="50" t="s">
        <v>167</v>
      </c>
      <c r="G415" s="60" t="s">
        <v>1318</v>
      </c>
      <c r="H415" s="88">
        <f>8400+24550+5600</f>
        <v>38550</v>
      </c>
      <c r="I415" s="88"/>
      <c r="J415" s="89"/>
      <c r="K415" s="89"/>
      <c r="L415" s="89">
        <f t="shared" si="12"/>
        <v>38550</v>
      </c>
      <c r="M415" s="87">
        <f t="shared" si="13"/>
        <v>38550</v>
      </c>
      <c r="N415" s="89"/>
      <c r="O415" s="89"/>
      <c r="P415" s="48">
        <v>41093</v>
      </c>
      <c r="Q415" s="48">
        <v>42616</v>
      </c>
      <c r="R415" s="49">
        <v>10531</v>
      </c>
    </row>
    <row r="416" spans="1:18" s="1" customFormat="1" ht="25.5" x14ac:dyDescent="0.2">
      <c r="A416" s="45" t="s">
        <v>1319</v>
      </c>
      <c r="B416" s="57">
        <v>22663</v>
      </c>
      <c r="C416" s="50" t="s">
        <v>43</v>
      </c>
      <c r="D416" s="60" t="s">
        <v>1320</v>
      </c>
      <c r="E416" s="80" t="s">
        <v>585</v>
      </c>
      <c r="F416" s="50" t="s">
        <v>71</v>
      </c>
      <c r="G416" s="60" t="s">
        <v>1321</v>
      </c>
      <c r="H416" s="88">
        <f>3500+3500</f>
        <v>7000</v>
      </c>
      <c r="I416" s="88"/>
      <c r="J416" s="89"/>
      <c r="K416" s="89">
        <v>13860</v>
      </c>
      <c r="L416" s="89">
        <f t="shared" si="12"/>
        <v>20860</v>
      </c>
      <c r="M416" s="87">
        <f t="shared" si="13"/>
        <v>20860</v>
      </c>
      <c r="N416" s="89"/>
      <c r="O416" s="89"/>
      <c r="P416" s="48">
        <v>41093</v>
      </c>
      <c r="Q416" s="48">
        <v>41823</v>
      </c>
      <c r="R416" s="49">
        <v>10582</v>
      </c>
    </row>
    <row r="417" spans="1:18" s="1" customFormat="1" ht="63.75" x14ac:dyDescent="0.2">
      <c r="A417" s="45" t="s">
        <v>1322</v>
      </c>
      <c r="B417" s="57">
        <v>22676</v>
      </c>
      <c r="C417" s="50" t="s">
        <v>43</v>
      </c>
      <c r="D417" s="60" t="s">
        <v>1323</v>
      </c>
      <c r="E417" s="80" t="s">
        <v>585</v>
      </c>
      <c r="F417" s="50" t="s">
        <v>167</v>
      </c>
      <c r="G417" s="60" t="s">
        <v>1324</v>
      </c>
      <c r="H417" s="88">
        <f>3680+2000</f>
        <v>5680</v>
      </c>
      <c r="I417" s="88">
        <v>4320</v>
      </c>
      <c r="J417" s="89"/>
      <c r="K417" s="89">
        <f>2000</f>
        <v>2000</v>
      </c>
      <c r="L417" s="89">
        <f t="shared" si="12"/>
        <v>12000</v>
      </c>
      <c r="M417" s="87">
        <f t="shared" si="13"/>
        <v>12000</v>
      </c>
      <c r="N417" s="89"/>
      <c r="O417" s="89"/>
      <c r="P417" s="48">
        <v>41093</v>
      </c>
      <c r="Q417" s="48">
        <v>42646</v>
      </c>
      <c r="R417" s="49">
        <v>10592</v>
      </c>
    </row>
    <row r="418" spans="1:18" s="1" customFormat="1" ht="38.25" x14ac:dyDescent="0.2">
      <c r="A418" s="45" t="s">
        <v>1325</v>
      </c>
      <c r="B418" s="57">
        <v>22680</v>
      </c>
      <c r="C418" s="50" t="s">
        <v>43</v>
      </c>
      <c r="D418" s="60" t="s">
        <v>1326</v>
      </c>
      <c r="E418" s="80" t="s">
        <v>585</v>
      </c>
      <c r="F418" s="50" t="s">
        <v>94</v>
      </c>
      <c r="G418" s="60" t="s">
        <v>1327</v>
      </c>
      <c r="H418" s="88">
        <v>22000</v>
      </c>
      <c r="I418" s="88"/>
      <c r="J418" s="89"/>
      <c r="K418" s="89"/>
      <c r="L418" s="89">
        <f t="shared" si="12"/>
        <v>22000</v>
      </c>
      <c r="M418" s="87">
        <f t="shared" si="13"/>
        <v>22000</v>
      </c>
      <c r="N418" s="89"/>
      <c r="O418" s="89"/>
      <c r="P418" s="48">
        <v>41093</v>
      </c>
      <c r="Q418" s="48">
        <v>42917</v>
      </c>
      <c r="R418" s="49">
        <v>10432</v>
      </c>
    </row>
    <row r="419" spans="1:18" s="1" customFormat="1" ht="76.5" x14ac:dyDescent="0.2">
      <c r="A419" s="45" t="s">
        <v>1328</v>
      </c>
      <c r="B419" s="57">
        <v>22711</v>
      </c>
      <c r="C419" s="50" t="s">
        <v>43</v>
      </c>
      <c r="D419" s="60" t="s">
        <v>1329</v>
      </c>
      <c r="E419" s="80" t="s">
        <v>585</v>
      </c>
      <c r="F419" s="50" t="s">
        <v>63</v>
      </c>
      <c r="G419" s="60" t="s">
        <v>1330</v>
      </c>
      <c r="H419" s="88">
        <v>25000</v>
      </c>
      <c r="I419" s="88"/>
      <c r="J419" s="89"/>
      <c r="K419" s="89"/>
      <c r="L419" s="89">
        <f t="shared" si="12"/>
        <v>25000</v>
      </c>
      <c r="M419" s="87">
        <f t="shared" si="13"/>
        <v>25000</v>
      </c>
      <c r="N419" s="89"/>
      <c r="O419" s="89"/>
      <c r="P419" s="48">
        <v>41088</v>
      </c>
      <c r="Q419" s="48">
        <v>42643</v>
      </c>
      <c r="R419" s="49">
        <v>10565</v>
      </c>
    </row>
    <row r="420" spans="1:18" s="1" customFormat="1" ht="38.25" x14ac:dyDescent="0.2">
      <c r="A420" s="45" t="s">
        <v>1331</v>
      </c>
      <c r="B420" s="57">
        <v>22741</v>
      </c>
      <c r="C420" s="50" t="s">
        <v>43</v>
      </c>
      <c r="D420" s="60" t="s">
        <v>1332</v>
      </c>
      <c r="E420" s="80" t="s">
        <v>585</v>
      </c>
      <c r="F420" s="50" t="s">
        <v>22</v>
      </c>
      <c r="G420" s="60" t="s">
        <v>1333</v>
      </c>
      <c r="H420" s="88">
        <f>360+480+1500+3000+4500</f>
        <v>9840</v>
      </c>
      <c r="I420" s="88"/>
      <c r="J420" s="89"/>
      <c r="K420" s="89">
        <f>5400+800</f>
        <v>6200</v>
      </c>
      <c r="L420" s="89">
        <f t="shared" si="12"/>
        <v>16040</v>
      </c>
      <c r="M420" s="87">
        <f t="shared" si="13"/>
        <v>16040</v>
      </c>
      <c r="N420" s="89"/>
      <c r="O420" s="89"/>
      <c r="P420" s="48">
        <v>41127</v>
      </c>
      <c r="Q420" s="48">
        <v>41857</v>
      </c>
      <c r="R420" s="49">
        <v>10911</v>
      </c>
    </row>
    <row r="421" spans="1:18" s="1" customFormat="1" ht="38.25" x14ac:dyDescent="0.2">
      <c r="A421" s="45" t="s">
        <v>1334</v>
      </c>
      <c r="B421" s="57">
        <v>22775</v>
      </c>
      <c r="C421" s="50" t="s">
        <v>43</v>
      </c>
      <c r="D421" s="60" t="s">
        <v>1335</v>
      </c>
      <c r="E421" s="80" t="s">
        <v>585</v>
      </c>
      <c r="F421" s="50" t="s">
        <v>63</v>
      </c>
      <c r="G421" s="60" t="s">
        <v>1336</v>
      </c>
      <c r="H421" s="88">
        <f>4800+428+16000</f>
        <v>21228</v>
      </c>
      <c r="I421" s="88"/>
      <c r="J421" s="89"/>
      <c r="K421" s="89">
        <v>1930</v>
      </c>
      <c r="L421" s="89">
        <f t="shared" si="12"/>
        <v>23158</v>
      </c>
      <c r="M421" s="87">
        <f t="shared" si="13"/>
        <v>23158</v>
      </c>
      <c r="N421" s="89"/>
      <c r="O421" s="89"/>
      <c r="P421" s="48">
        <v>41088</v>
      </c>
      <c r="Q421" s="48">
        <v>41818</v>
      </c>
      <c r="R421" s="49">
        <v>10581</v>
      </c>
    </row>
    <row r="422" spans="1:18" s="1" customFormat="1" ht="63.75" x14ac:dyDescent="0.2">
      <c r="A422" s="45" t="s">
        <v>1337</v>
      </c>
      <c r="B422" s="57">
        <v>22783</v>
      </c>
      <c r="C422" s="50" t="s">
        <v>43</v>
      </c>
      <c r="D422" s="60" t="s">
        <v>1338</v>
      </c>
      <c r="E422" s="80" t="s">
        <v>585</v>
      </c>
      <c r="F422" s="50" t="s">
        <v>71</v>
      </c>
      <c r="G422" s="60" t="s">
        <v>1339</v>
      </c>
      <c r="H422" s="88">
        <f>15900-240</f>
        <v>15660</v>
      </c>
      <c r="I422" s="88">
        <v>8640</v>
      </c>
      <c r="J422" s="89"/>
      <c r="K422" s="89"/>
      <c r="L422" s="89">
        <f t="shared" si="12"/>
        <v>24300</v>
      </c>
      <c r="M422" s="87">
        <f t="shared" si="13"/>
        <v>24300</v>
      </c>
      <c r="N422" s="89"/>
      <c r="O422" s="89"/>
      <c r="P422" s="48">
        <v>41127</v>
      </c>
      <c r="Q422" s="48">
        <v>41857</v>
      </c>
      <c r="R422" s="49">
        <v>10910</v>
      </c>
    </row>
    <row r="423" spans="1:18" s="1" customFormat="1" ht="51" x14ac:dyDescent="0.2">
      <c r="A423" s="45" t="s">
        <v>1340</v>
      </c>
      <c r="B423" s="57">
        <v>22901</v>
      </c>
      <c r="C423" s="50" t="s">
        <v>43</v>
      </c>
      <c r="D423" s="60" t="s">
        <v>1341</v>
      </c>
      <c r="E423" s="80" t="s">
        <v>585</v>
      </c>
      <c r="F423" s="50" t="s">
        <v>63</v>
      </c>
      <c r="G423" s="60" t="s">
        <v>1342</v>
      </c>
      <c r="H423" s="88">
        <f>15874+152</f>
        <v>16026</v>
      </c>
      <c r="I423" s="88"/>
      <c r="J423" s="89"/>
      <c r="K423" s="89">
        <v>28195</v>
      </c>
      <c r="L423" s="89">
        <f t="shared" si="12"/>
        <v>44221</v>
      </c>
      <c r="M423" s="87">
        <f t="shared" si="13"/>
        <v>44221</v>
      </c>
      <c r="N423" s="89"/>
      <c r="O423" s="89"/>
      <c r="P423" s="48">
        <v>41088</v>
      </c>
      <c r="Q423" s="48">
        <v>42734</v>
      </c>
      <c r="R423" s="49">
        <v>10584</v>
      </c>
    </row>
    <row r="424" spans="1:18" s="1" customFormat="1" ht="51" x14ac:dyDescent="0.2">
      <c r="A424" s="45" t="s">
        <v>1343</v>
      </c>
      <c r="B424" s="57">
        <v>22915</v>
      </c>
      <c r="C424" s="50" t="s">
        <v>43</v>
      </c>
      <c r="D424" s="60" t="s">
        <v>1344</v>
      </c>
      <c r="E424" s="80" t="s">
        <v>585</v>
      </c>
      <c r="F424" s="50" t="s">
        <v>87</v>
      </c>
      <c r="G424" s="60" t="s">
        <v>1345</v>
      </c>
      <c r="H424" s="88">
        <f>2680+1080+1728+3950</f>
        <v>9438</v>
      </c>
      <c r="I424" s="88"/>
      <c r="J424" s="89"/>
      <c r="K424" s="89">
        <f>800+3600+429.6</f>
        <v>4829.6000000000004</v>
      </c>
      <c r="L424" s="89">
        <f t="shared" si="12"/>
        <v>14267.6</v>
      </c>
      <c r="M424" s="87">
        <f t="shared" si="13"/>
        <v>14267.6</v>
      </c>
      <c r="N424" s="89"/>
      <c r="O424" s="89"/>
      <c r="P424" s="48">
        <v>41088</v>
      </c>
      <c r="Q424" s="48">
        <v>41818</v>
      </c>
      <c r="R424" s="49">
        <v>10585</v>
      </c>
    </row>
    <row r="425" spans="1:18" s="1" customFormat="1" ht="25.5" x14ac:dyDescent="0.2">
      <c r="A425" s="45" t="s">
        <v>1346</v>
      </c>
      <c r="B425" s="57">
        <v>22926</v>
      </c>
      <c r="C425" s="50" t="s">
        <v>43</v>
      </c>
      <c r="D425" s="60" t="s">
        <v>1347</v>
      </c>
      <c r="E425" s="80" t="s">
        <v>585</v>
      </c>
      <c r="F425" s="50" t="s">
        <v>71</v>
      </c>
      <c r="G425" s="60" t="s">
        <v>1348</v>
      </c>
      <c r="H425" s="88">
        <f>13000+1500</f>
        <v>14500</v>
      </c>
      <c r="I425" s="88">
        <v>4320</v>
      </c>
      <c r="J425" s="89"/>
      <c r="K425" s="89">
        <v>24950</v>
      </c>
      <c r="L425" s="89">
        <f t="shared" si="12"/>
        <v>43770</v>
      </c>
      <c r="M425" s="87">
        <f t="shared" si="13"/>
        <v>43770</v>
      </c>
      <c r="N425" s="89"/>
      <c r="O425" s="89"/>
      <c r="P425" s="48">
        <v>41130</v>
      </c>
      <c r="Q425" s="48">
        <v>42744</v>
      </c>
      <c r="R425" s="49">
        <v>10905</v>
      </c>
    </row>
    <row r="426" spans="1:18" s="1" customFormat="1" ht="25.5" x14ac:dyDescent="0.2">
      <c r="A426" s="45" t="s">
        <v>1349</v>
      </c>
      <c r="B426" s="57">
        <v>22935</v>
      </c>
      <c r="C426" s="50" t="s">
        <v>43</v>
      </c>
      <c r="D426" s="60" t="s">
        <v>1350</v>
      </c>
      <c r="E426" s="80" t="s">
        <v>585</v>
      </c>
      <c r="F426" s="50" t="s">
        <v>94</v>
      </c>
      <c r="G426" s="60" t="s">
        <v>1351</v>
      </c>
      <c r="H426" s="88">
        <v>24625</v>
      </c>
      <c r="I426" s="88"/>
      <c r="J426" s="89"/>
      <c r="K426" s="89"/>
      <c r="L426" s="89">
        <f t="shared" si="12"/>
        <v>24625</v>
      </c>
      <c r="M426" s="87">
        <f t="shared" si="13"/>
        <v>24625</v>
      </c>
      <c r="N426" s="89"/>
      <c r="O426" s="89"/>
      <c r="P426" s="48">
        <v>41093</v>
      </c>
      <c r="Q426" s="48">
        <v>42616</v>
      </c>
      <c r="R426" s="49">
        <v>10590</v>
      </c>
    </row>
    <row r="427" spans="1:18" s="1" customFormat="1" ht="25.5" x14ac:dyDescent="0.2">
      <c r="A427" s="45" t="s">
        <v>1352</v>
      </c>
      <c r="B427" s="57">
        <v>22949</v>
      </c>
      <c r="C427" s="50" t="s">
        <v>43</v>
      </c>
      <c r="D427" s="60" t="s">
        <v>1353</v>
      </c>
      <c r="E427" s="80" t="s">
        <v>585</v>
      </c>
      <c r="F427" s="50" t="s">
        <v>26</v>
      </c>
      <c r="G427" s="60" t="s">
        <v>1354</v>
      </c>
      <c r="H427" s="88">
        <f>550</f>
        <v>550</v>
      </c>
      <c r="I427" s="88">
        <v>4320</v>
      </c>
      <c r="J427" s="89"/>
      <c r="K427" s="89">
        <f>1800+1800+500+162+300+1220</f>
        <v>5782</v>
      </c>
      <c r="L427" s="89">
        <f t="shared" si="12"/>
        <v>10652</v>
      </c>
      <c r="M427" s="87">
        <f t="shared" si="13"/>
        <v>10652</v>
      </c>
      <c r="N427" s="89"/>
      <c r="O427" s="89"/>
      <c r="P427" s="48">
        <v>41093</v>
      </c>
      <c r="Q427" s="48">
        <v>41823</v>
      </c>
      <c r="R427" s="49">
        <v>10591</v>
      </c>
    </row>
    <row r="428" spans="1:18" s="1" customFormat="1" ht="25.5" x14ac:dyDescent="0.2">
      <c r="A428" s="45" t="s">
        <v>1355</v>
      </c>
      <c r="B428" s="57">
        <v>23064</v>
      </c>
      <c r="C428" s="50" t="s">
        <v>43</v>
      </c>
      <c r="D428" s="60" t="s">
        <v>1356</v>
      </c>
      <c r="E428" s="80" t="s">
        <v>585</v>
      </c>
      <c r="F428" s="50" t="s">
        <v>98</v>
      </c>
      <c r="G428" s="60" t="s">
        <v>1357</v>
      </c>
      <c r="H428" s="88">
        <f>8320+2305+15800.96+6910</f>
        <v>33335.96</v>
      </c>
      <c r="I428" s="88">
        <v>8640</v>
      </c>
      <c r="J428" s="89"/>
      <c r="K428" s="89"/>
      <c r="L428" s="89">
        <f t="shared" si="12"/>
        <v>41975.96</v>
      </c>
      <c r="M428" s="87">
        <f t="shared" si="13"/>
        <v>41975.96</v>
      </c>
      <c r="N428" s="89"/>
      <c r="O428" s="89"/>
      <c r="P428" s="48">
        <v>41192</v>
      </c>
      <c r="Q428" s="48">
        <v>42104</v>
      </c>
      <c r="R428" s="49">
        <v>11793</v>
      </c>
    </row>
    <row r="429" spans="1:18" s="1" customFormat="1" ht="38.25" x14ac:dyDescent="0.2">
      <c r="A429" s="45" t="s">
        <v>1358</v>
      </c>
      <c r="B429" s="57">
        <v>23145</v>
      </c>
      <c r="C429" s="50" t="s">
        <v>43</v>
      </c>
      <c r="D429" s="60" t="s">
        <v>1359</v>
      </c>
      <c r="E429" s="80" t="s">
        <v>585</v>
      </c>
      <c r="F429" s="50" t="s">
        <v>94</v>
      </c>
      <c r="G429" s="60" t="s">
        <v>1360</v>
      </c>
      <c r="H429" s="88">
        <f>960+43845+1000+4000</f>
        <v>49805</v>
      </c>
      <c r="I429" s="88"/>
      <c r="J429" s="89"/>
      <c r="K429" s="89"/>
      <c r="L429" s="89">
        <f t="shared" si="12"/>
        <v>49805</v>
      </c>
      <c r="M429" s="87">
        <f t="shared" si="13"/>
        <v>49805</v>
      </c>
      <c r="N429" s="89"/>
      <c r="O429" s="89"/>
      <c r="P429" s="48">
        <v>41093</v>
      </c>
      <c r="Q429" s="48">
        <v>42277</v>
      </c>
      <c r="R429" s="49">
        <v>10619</v>
      </c>
    </row>
    <row r="430" spans="1:18" s="1" customFormat="1" ht="25.5" x14ac:dyDescent="0.2">
      <c r="A430" s="45" t="s">
        <v>1361</v>
      </c>
      <c r="B430" s="57">
        <v>23185</v>
      </c>
      <c r="C430" s="50" t="s">
        <v>43</v>
      </c>
      <c r="D430" s="60" t="s">
        <v>1362</v>
      </c>
      <c r="E430" s="80" t="s">
        <v>585</v>
      </c>
      <c r="F430" s="50" t="s">
        <v>94</v>
      </c>
      <c r="G430" s="60" t="s">
        <v>1363</v>
      </c>
      <c r="H430" s="88">
        <v>12400</v>
      </c>
      <c r="I430" s="88"/>
      <c r="J430" s="89"/>
      <c r="K430" s="89">
        <v>12600</v>
      </c>
      <c r="L430" s="89">
        <f t="shared" si="12"/>
        <v>25000</v>
      </c>
      <c r="M430" s="87">
        <f t="shared" si="13"/>
        <v>25000</v>
      </c>
      <c r="N430" s="89"/>
      <c r="O430" s="89"/>
      <c r="P430" s="48">
        <v>41088</v>
      </c>
      <c r="Q430" s="48">
        <v>42093</v>
      </c>
      <c r="R430" s="49">
        <v>10501</v>
      </c>
    </row>
    <row r="431" spans="1:18" s="1" customFormat="1" ht="76.5" x14ac:dyDescent="0.2">
      <c r="A431" s="45" t="s">
        <v>1364</v>
      </c>
      <c r="B431" s="57">
        <v>23209</v>
      </c>
      <c r="C431" s="50" t="s">
        <v>43</v>
      </c>
      <c r="D431" s="60" t="s">
        <v>1365</v>
      </c>
      <c r="E431" s="80" t="s">
        <v>585</v>
      </c>
      <c r="F431" s="50" t="s">
        <v>87</v>
      </c>
      <c r="G431" s="60" t="s">
        <v>1366</v>
      </c>
      <c r="H431" s="88">
        <f>19600+6000</f>
        <v>25600</v>
      </c>
      <c r="I431" s="88"/>
      <c r="J431" s="89"/>
      <c r="K431" s="89">
        <v>22700</v>
      </c>
      <c r="L431" s="89">
        <f t="shared" si="12"/>
        <v>48300</v>
      </c>
      <c r="M431" s="87">
        <f t="shared" si="13"/>
        <v>48300</v>
      </c>
      <c r="N431" s="89"/>
      <c r="O431" s="89"/>
      <c r="P431" s="48">
        <v>41088</v>
      </c>
      <c r="Q431" s="48">
        <v>42734</v>
      </c>
      <c r="R431" s="49">
        <v>10479</v>
      </c>
    </row>
    <row r="432" spans="1:18" s="1" customFormat="1" ht="38.25" x14ac:dyDescent="0.2">
      <c r="A432" s="45" t="s">
        <v>1367</v>
      </c>
      <c r="B432" s="57">
        <v>23294</v>
      </c>
      <c r="C432" s="50" t="s">
        <v>43</v>
      </c>
      <c r="D432" s="60" t="s">
        <v>1368</v>
      </c>
      <c r="E432" s="80" t="s">
        <v>585</v>
      </c>
      <c r="F432" s="50" t="s">
        <v>26</v>
      </c>
      <c r="G432" s="60" t="s">
        <v>1369</v>
      </c>
      <c r="H432" s="88">
        <f>7500+5667</f>
        <v>13167</v>
      </c>
      <c r="I432" s="88"/>
      <c r="J432" s="89"/>
      <c r="K432" s="89">
        <v>26864</v>
      </c>
      <c r="L432" s="89">
        <f t="shared" si="12"/>
        <v>40031</v>
      </c>
      <c r="M432" s="87">
        <f t="shared" si="13"/>
        <v>40031</v>
      </c>
      <c r="N432" s="89"/>
      <c r="O432" s="89"/>
      <c r="P432" s="48">
        <v>41093</v>
      </c>
      <c r="Q432" s="48">
        <v>42707</v>
      </c>
      <c r="R432" s="49">
        <v>10892</v>
      </c>
    </row>
    <row r="433" spans="1:18" s="1" customFormat="1" ht="38.25" x14ac:dyDescent="0.2">
      <c r="A433" s="45" t="s">
        <v>1370</v>
      </c>
      <c r="B433" s="57">
        <v>23343</v>
      </c>
      <c r="C433" s="50" t="s">
        <v>43</v>
      </c>
      <c r="D433" s="60" t="s">
        <v>1371</v>
      </c>
      <c r="E433" s="80" t="s">
        <v>585</v>
      </c>
      <c r="F433" s="50" t="s">
        <v>22</v>
      </c>
      <c r="G433" s="60" t="s">
        <v>1372</v>
      </c>
      <c r="H433" s="88">
        <f>1890+900+450+2680</f>
        <v>5920</v>
      </c>
      <c r="I433" s="88">
        <v>4320</v>
      </c>
      <c r="J433" s="89"/>
      <c r="K433" s="89"/>
      <c r="L433" s="89">
        <f t="shared" si="12"/>
        <v>10240</v>
      </c>
      <c r="M433" s="87">
        <f t="shared" si="13"/>
        <v>10240</v>
      </c>
      <c r="N433" s="89"/>
      <c r="O433" s="89"/>
      <c r="P433" s="48">
        <v>41142</v>
      </c>
      <c r="Q433" s="48">
        <v>41872</v>
      </c>
      <c r="R433" s="49">
        <v>11009</v>
      </c>
    </row>
    <row r="434" spans="1:18" s="1" customFormat="1" ht="63.75" x14ac:dyDescent="0.2">
      <c r="A434" s="45" t="s">
        <v>1373</v>
      </c>
      <c r="B434" s="57">
        <v>23358</v>
      </c>
      <c r="C434" s="50" t="s">
        <v>43</v>
      </c>
      <c r="D434" s="60" t="s">
        <v>189</v>
      </c>
      <c r="E434" s="80" t="s">
        <v>585</v>
      </c>
      <c r="F434" s="50" t="s">
        <v>193</v>
      </c>
      <c r="G434" s="60" t="s">
        <v>1374</v>
      </c>
      <c r="H434" s="88">
        <v>7578.7</v>
      </c>
      <c r="I434" s="88"/>
      <c r="J434" s="89"/>
      <c r="K434" s="89">
        <v>42421.3</v>
      </c>
      <c r="L434" s="89">
        <f t="shared" si="12"/>
        <v>50000</v>
      </c>
      <c r="M434" s="87">
        <f t="shared" si="13"/>
        <v>50000</v>
      </c>
      <c r="N434" s="89"/>
      <c r="O434" s="89"/>
      <c r="P434" s="48">
        <v>41127</v>
      </c>
      <c r="Q434" s="48">
        <v>42406</v>
      </c>
      <c r="R434" s="49">
        <v>10909</v>
      </c>
    </row>
    <row r="435" spans="1:18" s="1" customFormat="1" ht="25.5" x14ac:dyDescent="0.2">
      <c r="A435" s="45" t="s">
        <v>1375</v>
      </c>
      <c r="B435" s="57">
        <v>23426</v>
      </c>
      <c r="C435" s="50" t="s">
        <v>43</v>
      </c>
      <c r="D435" s="60" t="s">
        <v>1376</v>
      </c>
      <c r="E435" s="80" t="s">
        <v>585</v>
      </c>
      <c r="F435" s="50" t="s">
        <v>63</v>
      </c>
      <c r="G435" s="60" t="s">
        <v>1377</v>
      </c>
      <c r="H435" s="88">
        <f>12300</f>
        <v>12300</v>
      </c>
      <c r="I435" s="88">
        <v>3600</v>
      </c>
      <c r="J435" s="89"/>
      <c r="K435" s="89">
        <v>8000</v>
      </c>
      <c r="L435" s="89">
        <f t="shared" si="12"/>
        <v>23900</v>
      </c>
      <c r="M435" s="87">
        <f t="shared" si="13"/>
        <v>23900</v>
      </c>
      <c r="N435" s="89"/>
      <c r="O435" s="89"/>
      <c r="P435" s="48">
        <v>41142</v>
      </c>
      <c r="Q435" s="48">
        <v>42704</v>
      </c>
      <c r="R435" s="49">
        <v>11010</v>
      </c>
    </row>
    <row r="436" spans="1:18" s="1" customFormat="1" ht="38.25" x14ac:dyDescent="0.2">
      <c r="A436" s="45" t="s">
        <v>1378</v>
      </c>
      <c r="B436" s="57">
        <v>23485</v>
      </c>
      <c r="C436" s="50" t="s">
        <v>43</v>
      </c>
      <c r="D436" s="60" t="s">
        <v>196</v>
      </c>
      <c r="E436" s="80" t="s">
        <v>585</v>
      </c>
      <c r="F436" s="50" t="s">
        <v>94</v>
      </c>
      <c r="G436" s="60" t="s">
        <v>1379</v>
      </c>
      <c r="H436" s="88">
        <f>22338+2200</f>
        <v>24538</v>
      </c>
      <c r="I436" s="88"/>
      <c r="J436" s="89"/>
      <c r="K436" s="89"/>
      <c r="L436" s="89">
        <f t="shared" si="12"/>
        <v>24538</v>
      </c>
      <c r="M436" s="87">
        <f t="shared" si="13"/>
        <v>24538</v>
      </c>
      <c r="N436" s="89"/>
      <c r="O436" s="89"/>
      <c r="P436" s="48">
        <v>41093</v>
      </c>
      <c r="Q436" s="48">
        <v>42524</v>
      </c>
      <c r="R436" s="49">
        <v>10881</v>
      </c>
    </row>
    <row r="437" spans="1:18" s="1" customFormat="1" ht="51" x14ac:dyDescent="0.2">
      <c r="A437" s="45" t="s">
        <v>1380</v>
      </c>
      <c r="B437" s="57">
        <v>23510</v>
      </c>
      <c r="C437" s="50" t="s">
        <v>43</v>
      </c>
      <c r="D437" s="60" t="s">
        <v>1381</v>
      </c>
      <c r="E437" s="80" t="s">
        <v>585</v>
      </c>
      <c r="F437" s="50" t="s">
        <v>167</v>
      </c>
      <c r="G437" s="60" t="s">
        <v>1382</v>
      </c>
      <c r="H437" s="88">
        <f>1600+25000+2500+1500+6000</f>
        <v>36600</v>
      </c>
      <c r="I437" s="88"/>
      <c r="J437" s="89"/>
      <c r="K437" s="89">
        <v>7500</v>
      </c>
      <c r="L437" s="89">
        <f t="shared" si="12"/>
        <v>44100</v>
      </c>
      <c r="M437" s="87">
        <f t="shared" si="13"/>
        <v>44100</v>
      </c>
      <c r="N437" s="89"/>
      <c r="O437" s="89"/>
      <c r="P437" s="48">
        <v>40949</v>
      </c>
      <c r="Q437" s="48">
        <v>42215</v>
      </c>
      <c r="R437" s="49">
        <v>11027</v>
      </c>
    </row>
    <row r="438" spans="1:18" s="1" customFormat="1" ht="63.75" x14ac:dyDescent="0.2">
      <c r="A438" s="45" t="s">
        <v>1383</v>
      </c>
      <c r="B438" s="57">
        <v>23526</v>
      </c>
      <c r="C438" s="50" t="s">
        <v>43</v>
      </c>
      <c r="D438" s="60" t="s">
        <v>1384</v>
      </c>
      <c r="E438" s="80" t="s">
        <v>585</v>
      </c>
      <c r="F438" s="50" t="s">
        <v>240</v>
      </c>
      <c r="G438" s="60" t="s">
        <v>1385</v>
      </c>
      <c r="H438" s="88">
        <f>10500+2000</f>
        <v>12500</v>
      </c>
      <c r="I438" s="88"/>
      <c r="J438" s="89"/>
      <c r="K438" s="89">
        <v>16699</v>
      </c>
      <c r="L438" s="89">
        <f t="shared" si="12"/>
        <v>29199</v>
      </c>
      <c r="M438" s="87">
        <f t="shared" si="13"/>
        <v>29199</v>
      </c>
      <c r="N438" s="89"/>
      <c r="O438" s="89"/>
      <c r="P438" s="48">
        <v>41192</v>
      </c>
      <c r="Q438" s="48">
        <v>43018</v>
      </c>
      <c r="R438" s="49">
        <v>11942</v>
      </c>
    </row>
    <row r="439" spans="1:18" s="1" customFormat="1" ht="38.25" x14ac:dyDescent="0.2">
      <c r="A439" s="45" t="s">
        <v>1386</v>
      </c>
      <c r="B439" s="57">
        <v>23551</v>
      </c>
      <c r="C439" s="50" t="s">
        <v>43</v>
      </c>
      <c r="D439" s="60" t="s">
        <v>1387</v>
      </c>
      <c r="E439" s="80" t="s">
        <v>585</v>
      </c>
      <c r="F439" s="50" t="s">
        <v>109</v>
      </c>
      <c r="G439" s="60" t="s">
        <v>1388</v>
      </c>
      <c r="H439" s="88"/>
      <c r="I439" s="88"/>
      <c r="J439" s="89"/>
      <c r="K439" s="89">
        <v>100000</v>
      </c>
      <c r="L439" s="89">
        <f t="shared" si="12"/>
        <v>100000</v>
      </c>
      <c r="M439" s="87">
        <f t="shared" si="13"/>
        <v>100000</v>
      </c>
      <c r="N439" s="89"/>
      <c r="O439" s="89"/>
      <c r="P439" s="48">
        <v>41093</v>
      </c>
      <c r="Q439" s="48">
        <v>41823</v>
      </c>
      <c r="R439" s="49">
        <v>10523</v>
      </c>
    </row>
    <row r="440" spans="1:18" s="1" customFormat="1" ht="51" x14ac:dyDescent="0.2">
      <c r="A440" s="45" t="s">
        <v>1389</v>
      </c>
      <c r="B440" s="57">
        <v>23624</v>
      </c>
      <c r="C440" s="50" t="s">
        <v>43</v>
      </c>
      <c r="D440" s="60" t="s">
        <v>163</v>
      </c>
      <c r="E440" s="80" t="s">
        <v>585</v>
      </c>
      <c r="F440" s="50" t="s">
        <v>98</v>
      </c>
      <c r="G440" s="60" t="s">
        <v>1390</v>
      </c>
      <c r="H440" s="88">
        <v>2920</v>
      </c>
      <c r="I440" s="88">
        <v>8640</v>
      </c>
      <c r="J440" s="89"/>
      <c r="K440" s="89">
        <v>2500</v>
      </c>
      <c r="L440" s="89">
        <f t="shared" si="12"/>
        <v>14060</v>
      </c>
      <c r="M440" s="87">
        <f t="shared" si="13"/>
        <v>14060</v>
      </c>
      <c r="N440" s="89"/>
      <c r="O440" s="89"/>
      <c r="P440" s="48">
        <v>41093</v>
      </c>
      <c r="Q440" s="48">
        <v>42673</v>
      </c>
      <c r="R440" s="49">
        <v>10893</v>
      </c>
    </row>
    <row r="441" spans="1:18" s="1" customFormat="1" ht="51" x14ac:dyDescent="0.2">
      <c r="A441" s="45" t="s">
        <v>1391</v>
      </c>
      <c r="B441" s="57">
        <v>23666</v>
      </c>
      <c r="C441" s="50" t="s">
        <v>43</v>
      </c>
      <c r="D441" s="60" t="s">
        <v>1392</v>
      </c>
      <c r="E441" s="80" t="s">
        <v>585</v>
      </c>
      <c r="F441" s="50" t="s">
        <v>167</v>
      </c>
      <c r="G441" s="60" t="s">
        <v>1393</v>
      </c>
      <c r="H441" s="88">
        <v>8000</v>
      </c>
      <c r="I441" s="88"/>
      <c r="J441" s="89"/>
      <c r="K441" s="89">
        <v>7000</v>
      </c>
      <c r="L441" s="89">
        <f t="shared" si="12"/>
        <v>15000</v>
      </c>
      <c r="M441" s="87">
        <f t="shared" si="13"/>
        <v>15000</v>
      </c>
      <c r="N441" s="89"/>
      <c r="O441" s="89"/>
      <c r="P441" s="48">
        <v>41088</v>
      </c>
      <c r="Q441" s="48">
        <v>41879</v>
      </c>
      <c r="R441" s="49">
        <v>10502</v>
      </c>
    </row>
    <row r="442" spans="1:18" s="1" customFormat="1" ht="63.75" x14ac:dyDescent="0.2">
      <c r="A442" s="45" t="s">
        <v>1394</v>
      </c>
      <c r="B442" s="57">
        <v>23643</v>
      </c>
      <c r="C442" s="50" t="s">
        <v>43</v>
      </c>
      <c r="D442" s="60" t="s">
        <v>1395</v>
      </c>
      <c r="E442" s="80" t="s">
        <v>585</v>
      </c>
      <c r="F442" s="50" t="s">
        <v>87</v>
      </c>
      <c r="G442" s="60" t="s">
        <v>1396</v>
      </c>
      <c r="H442" s="88">
        <f>3600+1600+1660+3000+1000+2000+600+400</f>
        <v>13860</v>
      </c>
      <c r="I442" s="88">
        <v>8640</v>
      </c>
      <c r="J442" s="89"/>
      <c r="K442" s="89"/>
      <c r="L442" s="89">
        <f t="shared" si="12"/>
        <v>22500</v>
      </c>
      <c r="M442" s="87">
        <f t="shared" si="13"/>
        <v>22500</v>
      </c>
      <c r="N442" s="89"/>
      <c r="O442" s="89"/>
      <c r="P442" s="48">
        <v>41127</v>
      </c>
      <c r="Q442" s="48">
        <v>41857</v>
      </c>
      <c r="R442" s="49">
        <v>10908</v>
      </c>
    </row>
    <row r="443" spans="1:18" s="1" customFormat="1" ht="38.25" x14ac:dyDescent="0.2">
      <c r="A443" s="45" t="s">
        <v>1397</v>
      </c>
      <c r="B443" s="57">
        <v>22798</v>
      </c>
      <c r="C443" s="50" t="s">
        <v>43</v>
      </c>
      <c r="D443" s="50" t="s">
        <v>1398</v>
      </c>
      <c r="E443" s="80" t="s">
        <v>585</v>
      </c>
      <c r="F443" s="50" t="s">
        <v>98</v>
      </c>
      <c r="G443" s="60" t="s">
        <v>1399</v>
      </c>
      <c r="H443" s="88">
        <f>5968+500+5400+3180</f>
        <v>15048</v>
      </c>
      <c r="I443" s="88">
        <v>4320</v>
      </c>
      <c r="J443" s="89"/>
      <c r="K443" s="89">
        <v>3313</v>
      </c>
      <c r="L443" s="89">
        <f t="shared" si="12"/>
        <v>22681</v>
      </c>
      <c r="M443" s="87">
        <f t="shared" si="13"/>
        <v>22681</v>
      </c>
      <c r="N443" s="89"/>
      <c r="O443" s="89"/>
      <c r="P443" s="48">
        <v>41093</v>
      </c>
      <c r="Q443" s="48">
        <v>42277</v>
      </c>
      <c r="R443" s="49">
        <v>10521</v>
      </c>
    </row>
    <row r="444" spans="1:18" s="1" customFormat="1" ht="25.5" x14ac:dyDescent="0.2">
      <c r="A444" s="45" t="s">
        <v>1400</v>
      </c>
      <c r="B444" s="45">
        <v>1551</v>
      </c>
      <c r="C444" s="50" t="s">
        <v>574</v>
      </c>
      <c r="D444" s="50" t="s">
        <v>1401</v>
      </c>
      <c r="E444" s="80" t="s">
        <v>308</v>
      </c>
      <c r="F444" s="50" t="s">
        <v>98</v>
      </c>
      <c r="G444" s="50" t="s">
        <v>1402</v>
      </c>
      <c r="H444" s="88">
        <v>3520.4</v>
      </c>
      <c r="I444" s="88"/>
      <c r="J444" s="89"/>
      <c r="K444" s="89"/>
      <c r="L444" s="89">
        <f t="shared" si="12"/>
        <v>3520.4</v>
      </c>
      <c r="M444" s="87">
        <f t="shared" si="13"/>
        <v>3520.4</v>
      </c>
      <c r="N444" s="89">
        <v>3520.4</v>
      </c>
      <c r="O444" s="89"/>
      <c r="P444" s="48">
        <v>41081</v>
      </c>
      <c r="Q444" s="48">
        <v>41264</v>
      </c>
      <c r="R444" s="49">
        <v>9983</v>
      </c>
    </row>
    <row r="445" spans="1:18" s="1" customFormat="1" ht="25.5" x14ac:dyDescent="0.2">
      <c r="A445" s="45" t="s">
        <v>1403</v>
      </c>
      <c r="B445" s="45">
        <v>1577</v>
      </c>
      <c r="C445" s="50" t="s">
        <v>1404</v>
      </c>
      <c r="D445" s="50" t="s">
        <v>1405</v>
      </c>
      <c r="E445" s="80" t="s">
        <v>308</v>
      </c>
      <c r="F445" s="50" t="s">
        <v>98</v>
      </c>
      <c r="G445" s="50" t="s">
        <v>1406</v>
      </c>
      <c r="H445" s="88">
        <v>3091</v>
      </c>
      <c r="I445" s="88"/>
      <c r="J445" s="89"/>
      <c r="K445" s="89"/>
      <c r="L445" s="89">
        <f t="shared" si="12"/>
        <v>3091</v>
      </c>
      <c r="M445" s="87">
        <f t="shared" si="13"/>
        <v>3091</v>
      </c>
      <c r="N445" s="89">
        <v>3091</v>
      </c>
      <c r="O445" s="89"/>
      <c r="P445" s="48">
        <v>41078</v>
      </c>
      <c r="Q445" s="48">
        <v>41261</v>
      </c>
      <c r="R445" s="49">
        <v>9769</v>
      </c>
    </row>
    <row r="446" spans="1:18" s="1" customFormat="1" ht="38.25" x14ac:dyDescent="0.2">
      <c r="A446" s="45" t="s">
        <v>1407</v>
      </c>
      <c r="B446" s="45">
        <v>1613</v>
      </c>
      <c r="C446" s="50" t="s">
        <v>66</v>
      </c>
      <c r="D446" s="50" t="s">
        <v>1408</v>
      </c>
      <c r="E446" s="80" t="s">
        <v>308</v>
      </c>
      <c r="F446" s="50" t="s">
        <v>87</v>
      </c>
      <c r="G446" s="50" t="s">
        <v>1409</v>
      </c>
      <c r="H446" s="88">
        <v>6400</v>
      </c>
      <c r="I446" s="88"/>
      <c r="J446" s="89"/>
      <c r="K446" s="89"/>
      <c r="L446" s="89">
        <f t="shared" si="12"/>
        <v>6400</v>
      </c>
      <c r="M446" s="87">
        <f t="shared" si="13"/>
        <v>6400</v>
      </c>
      <c r="N446" s="89">
        <v>6400</v>
      </c>
      <c r="O446" s="89"/>
      <c r="P446" s="48">
        <v>41078</v>
      </c>
      <c r="Q446" s="48">
        <v>41200</v>
      </c>
      <c r="R446" s="49">
        <v>9517</v>
      </c>
    </row>
    <row r="447" spans="1:18" s="1" customFormat="1" ht="51" x14ac:dyDescent="0.2">
      <c r="A447" s="45" t="s">
        <v>1410</v>
      </c>
      <c r="B447" s="45">
        <v>1609</v>
      </c>
      <c r="C447" s="50" t="s">
        <v>43</v>
      </c>
      <c r="D447" s="50" t="s">
        <v>1411</v>
      </c>
      <c r="E447" s="80" t="s">
        <v>308</v>
      </c>
      <c r="F447" s="50" t="s">
        <v>98</v>
      </c>
      <c r="G447" s="50" t="s">
        <v>1412</v>
      </c>
      <c r="H447" s="88">
        <v>16550</v>
      </c>
      <c r="I447" s="88"/>
      <c r="J447" s="89"/>
      <c r="K447" s="89"/>
      <c r="L447" s="89">
        <f t="shared" si="12"/>
        <v>16550</v>
      </c>
      <c r="M447" s="87">
        <f t="shared" si="13"/>
        <v>16550</v>
      </c>
      <c r="N447" s="89">
        <v>16550</v>
      </c>
      <c r="O447" s="89"/>
      <c r="P447" s="48">
        <v>41081</v>
      </c>
      <c r="Q447" s="48">
        <v>41264</v>
      </c>
      <c r="R447" s="49">
        <v>10408</v>
      </c>
    </row>
    <row r="448" spans="1:18" s="1" customFormat="1" ht="25.5" x14ac:dyDescent="0.2">
      <c r="A448" s="45" t="s">
        <v>1413</v>
      </c>
      <c r="B448" s="45">
        <v>1600</v>
      </c>
      <c r="C448" s="50" t="s">
        <v>35</v>
      </c>
      <c r="D448" s="50" t="s">
        <v>1414</v>
      </c>
      <c r="E448" s="80" t="s">
        <v>308</v>
      </c>
      <c r="F448" s="50" t="s">
        <v>167</v>
      </c>
      <c r="G448" s="50" t="s">
        <v>1415</v>
      </c>
      <c r="H448" s="88">
        <v>19600</v>
      </c>
      <c r="I448" s="88"/>
      <c r="J448" s="89"/>
      <c r="K448" s="89"/>
      <c r="L448" s="89">
        <f t="shared" si="12"/>
        <v>19600</v>
      </c>
      <c r="M448" s="87">
        <f t="shared" si="13"/>
        <v>19600</v>
      </c>
      <c r="N448" s="89">
        <v>19600</v>
      </c>
      <c r="O448" s="89"/>
      <c r="P448" s="48">
        <v>41080</v>
      </c>
      <c r="Q448" s="48">
        <v>41263</v>
      </c>
      <c r="R448" s="49">
        <v>10444</v>
      </c>
    </row>
    <row r="449" spans="1:18" s="1" customFormat="1" ht="38.25" x14ac:dyDescent="0.2">
      <c r="A449" s="45" t="s">
        <v>1416</v>
      </c>
      <c r="B449" s="45">
        <v>1620</v>
      </c>
      <c r="C449" s="50" t="s">
        <v>43</v>
      </c>
      <c r="D449" s="50" t="s">
        <v>1417</v>
      </c>
      <c r="E449" s="80" t="s">
        <v>308</v>
      </c>
      <c r="F449" s="50" t="s">
        <v>22</v>
      </c>
      <c r="G449" s="50" t="s">
        <v>1418</v>
      </c>
      <c r="H449" s="88">
        <v>18430</v>
      </c>
      <c r="I449" s="88"/>
      <c r="J449" s="89"/>
      <c r="K449" s="89"/>
      <c r="L449" s="89">
        <f t="shared" si="12"/>
        <v>18430</v>
      </c>
      <c r="M449" s="87">
        <f t="shared" si="13"/>
        <v>18430</v>
      </c>
      <c r="N449" s="89">
        <v>18430</v>
      </c>
      <c r="O449" s="89"/>
      <c r="P449" s="48">
        <v>41092</v>
      </c>
      <c r="Q449" s="48">
        <v>41276</v>
      </c>
      <c r="R449" s="49">
        <v>10882</v>
      </c>
    </row>
    <row r="450" spans="1:18" s="1" customFormat="1" ht="25.5" x14ac:dyDescent="0.2">
      <c r="A450" s="45" t="s">
        <v>1419</v>
      </c>
      <c r="B450" s="45">
        <v>1505</v>
      </c>
      <c r="C450" s="50" t="s">
        <v>1420</v>
      </c>
      <c r="D450" s="50" t="s">
        <v>1421</v>
      </c>
      <c r="E450" s="80" t="s">
        <v>308</v>
      </c>
      <c r="F450" s="50" t="s">
        <v>87</v>
      </c>
      <c r="G450" s="50" t="s">
        <v>1422</v>
      </c>
      <c r="H450" s="88">
        <v>10000</v>
      </c>
      <c r="I450" s="88"/>
      <c r="J450" s="89"/>
      <c r="K450" s="89"/>
      <c r="L450" s="89">
        <f t="shared" si="12"/>
        <v>10000</v>
      </c>
      <c r="M450" s="87">
        <f t="shared" si="13"/>
        <v>10000</v>
      </c>
      <c r="N450" s="89">
        <v>10000</v>
      </c>
      <c r="O450" s="89"/>
      <c r="P450" s="48">
        <v>41085</v>
      </c>
      <c r="Q450" s="48">
        <v>41268</v>
      </c>
      <c r="R450" s="49">
        <v>10303</v>
      </c>
    </row>
    <row r="451" spans="1:18" s="1" customFormat="1" ht="38.25" x14ac:dyDescent="0.2">
      <c r="A451" s="45" t="s">
        <v>1423</v>
      </c>
      <c r="B451" s="45">
        <v>1503</v>
      </c>
      <c r="C451" s="50" t="s">
        <v>1420</v>
      </c>
      <c r="D451" s="50" t="s">
        <v>1424</v>
      </c>
      <c r="E451" s="80" t="s">
        <v>308</v>
      </c>
      <c r="F451" s="50" t="s">
        <v>87</v>
      </c>
      <c r="G451" s="50" t="s">
        <v>1425</v>
      </c>
      <c r="H451" s="88">
        <v>15510</v>
      </c>
      <c r="I451" s="88"/>
      <c r="J451" s="89"/>
      <c r="K451" s="89"/>
      <c r="L451" s="89">
        <f t="shared" si="12"/>
        <v>15510</v>
      </c>
      <c r="M451" s="87">
        <f t="shared" si="13"/>
        <v>15510</v>
      </c>
      <c r="N451" s="89">
        <v>15510</v>
      </c>
      <c r="O451" s="89"/>
      <c r="P451" s="48">
        <v>41085</v>
      </c>
      <c r="Q451" s="48">
        <v>41268</v>
      </c>
      <c r="R451" s="49">
        <v>10306</v>
      </c>
    </row>
    <row r="452" spans="1:18" s="1" customFormat="1" ht="38.25" x14ac:dyDescent="0.2">
      <c r="A452" s="45" t="s">
        <v>1426</v>
      </c>
      <c r="B452" s="45">
        <v>25747</v>
      </c>
      <c r="C452" s="50" t="s">
        <v>19</v>
      </c>
      <c r="D452" s="50" t="s">
        <v>1427</v>
      </c>
      <c r="E452" s="80" t="s">
        <v>21</v>
      </c>
      <c r="F452" s="50" t="s">
        <v>22</v>
      </c>
      <c r="G452" s="50" t="s">
        <v>1428</v>
      </c>
      <c r="H452" s="88">
        <v>800</v>
      </c>
      <c r="I452" s="88"/>
      <c r="J452" s="89"/>
      <c r="K452" s="89"/>
      <c r="L452" s="89">
        <f t="shared" si="12"/>
        <v>800</v>
      </c>
      <c r="M452" s="87">
        <f t="shared" si="13"/>
        <v>800</v>
      </c>
      <c r="N452" s="89">
        <v>800</v>
      </c>
      <c r="O452" s="89"/>
      <c r="P452" s="48">
        <v>41061</v>
      </c>
      <c r="Q452" s="48">
        <v>41183</v>
      </c>
      <c r="R452" s="61">
        <v>10120</v>
      </c>
    </row>
    <row r="453" spans="1:18" s="1" customFormat="1" ht="38.25" x14ac:dyDescent="0.2">
      <c r="A453" s="45" t="s">
        <v>1429</v>
      </c>
      <c r="B453" s="45">
        <v>19664</v>
      </c>
      <c r="C453" s="50" t="s">
        <v>19</v>
      </c>
      <c r="D453" s="50" t="s">
        <v>1430</v>
      </c>
      <c r="E453" s="80" t="s">
        <v>21</v>
      </c>
      <c r="F453" s="50" t="s">
        <v>167</v>
      </c>
      <c r="G453" s="50" t="s">
        <v>1431</v>
      </c>
      <c r="H453" s="88">
        <v>6000</v>
      </c>
      <c r="I453" s="88"/>
      <c r="J453" s="89"/>
      <c r="K453" s="89"/>
      <c r="L453" s="89">
        <f t="shared" si="12"/>
        <v>6000</v>
      </c>
      <c r="M453" s="87">
        <f t="shared" si="13"/>
        <v>6000</v>
      </c>
      <c r="N453" s="89"/>
      <c r="O453" s="89"/>
      <c r="P453" s="48">
        <v>41061</v>
      </c>
      <c r="Q453" s="48">
        <v>41183</v>
      </c>
      <c r="R453" s="61">
        <v>10078</v>
      </c>
    </row>
    <row r="454" spans="1:18" s="1" customFormat="1" ht="38.25" x14ac:dyDescent="0.2">
      <c r="A454" s="45" t="s">
        <v>1432</v>
      </c>
      <c r="B454" s="45">
        <v>24997</v>
      </c>
      <c r="C454" s="50" t="s">
        <v>19</v>
      </c>
      <c r="D454" s="50" t="s">
        <v>1433</v>
      </c>
      <c r="E454" s="80" t="s">
        <v>21</v>
      </c>
      <c r="F454" s="50" t="s">
        <v>63</v>
      </c>
      <c r="G454" s="50" t="s">
        <v>1434</v>
      </c>
      <c r="H454" s="88">
        <v>3096</v>
      </c>
      <c r="I454" s="88"/>
      <c r="J454" s="89"/>
      <c r="K454" s="89"/>
      <c r="L454" s="89">
        <f t="shared" si="12"/>
        <v>3096</v>
      </c>
      <c r="M454" s="87">
        <f t="shared" si="13"/>
        <v>3096</v>
      </c>
      <c r="N454" s="89"/>
      <c r="O454" s="89"/>
      <c r="P454" s="48">
        <v>41061</v>
      </c>
      <c r="Q454" s="48">
        <v>41183</v>
      </c>
      <c r="R454" s="61">
        <v>10166</v>
      </c>
    </row>
    <row r="455" spans="1:18" s="1" customFormat="1" ht="38.25" x14ac:dyDescent="0.2">
      <c r="A455" s="45" t="s">
        <v>1435</v>
      </c>
      <c r="B455" s="45">
        <v>25314</v>
      </c>
      <c r="C455" s="50" t="s">
        <v>19</v>
      </c>
      <c r="D455" s="50" t="s">
        <v>1436</v>
      </c>
      <c r="E455" s="80" t="s">
        <v>21</v>
      </c>
      <c r="F455" s="50" t="s">
        <v>87</v>
      </c>
      <c r="G455" s="50" t="s">
        <v>1437</v>
      </c>
      <c r="H455" s="88">
        <v>3600</v>
      </c>
      <c r="I455" s="88"/>
      <c r="J455" s="89"/>
      <c r="K455" s="89"/>
      <c r="L455" s="89">
        <f t="shared" ref="L455:L518" si="14">H455+I455+J455+K455</f>
        <v>3600</v>
      </c>
      <c r="M455" s="87">
        <f t="shared" ref="M455:M518" si="15">SUM(L455)</f>
        <v>3600</v>
      </c>
      <c r="N455" s="89"/>
      <c r="O455" s="89"/>
      <c r="P455" s="48">
        <v>41061</v>
      </c>
      <c r="Q455" s="48">
        <v>41183</v>
      </c>
      <c r="R455" s="61">
        <v>10138</v>
      </c>
    </row>
    <row r="456" spans="1:18" s="1" customFormat="1" ht="51" x14ac:dyDescent="0.2">
      <c r="A456" s="45" t="s">
        <v>1438</v>
      </c>
      <c r="B456" s="45">
        <v>25138</v>
      </c>
      <c r="C456" s="50" t="s">
        <v>19</v>
      </c>
      <c r="D456" s="50" t="s">
        <v>1439</v>
      </c>
      <c r="E456" s="80" t="s">
        <v>21</v>
      </c>
      <c r="F456" s="50" t="s">
        <v>22</v>
      </c>
      <c r="G456" s="50" t="s">
        <v>1440</v>
      </c>
      <c r="H456" s="88">
        <v>4300</v>
      </c>
      <c r="I456" s="88"/>
      <c r="J456" s="89"/>
      <c r="K456" s="89"/>
      <c r="L456" s="89">
        <f t="shared" si="14"/>
        <v>4300</v>
      </c>
      <c r="M456" s="87">
        <f t="shared" si="15"/>
        <v>4300</v>
      </c>
      <c r="N456" s="89"/>
      <c r="O456" s="89"/>
      <c r="P456" s="48">
        <v>41061</v>
      </c>
      <c r="Q456" s="48">
        <v>41183</v>
      </c>
      <c r="R456" s="61">
        <v>10127</v>
      </c>
    </row>
    <row r="457" spans="1:18" s="1" customFormat="1" ht="38.25" x14ac:dyDescent="0.2">
      <c r="A457" s="45" t="s">
        <v>1441</v>
      </c>
      <c r="B457" s="45">
        <v>25762</v>
      </c>
      <c r="C457" s="50" t="s">
        <v>19</v>
      </c>
      <c r="D457" s="50" t="s">
        <v>1442</v>
      </c>
      <c r="E457" s="80" t="s">
        <v>21</v>
      </c>
      <c r="F457" s="50" t="s">
        <v>26</v>
      </c>
      <c r="G457" s="50" t="s">
        <v>1443</v>
      </c>
      <c r="H457" s="88">
        <v>800</v>
      </c>
      <c r="I457" s="88"/>
      <c r="J457" s="89"/>
      <c r="K457" s="89"/>
      <c r="L457" s="89">
        <f t="shared" si="14"/>
        <v>800</v>
      </c>
      <c r="M457" s="87">
        <f t="shared" si="15"/>
        <v>800</v>
      </c>
      <c r="N457" s="89"/>
      <c r="O457" s="89"/>
      <c r="P457" s="48">
        <v>41061</v>
      </c>
      <c r="Q457" s="48">
        <v>41183</v>
      </c>
      <c r="R457" s="61">
        <v>10167</v>
      </c>
    </row>
    <row r="458" spans="1:18" s="1" customFormat="1" ht="38.25" x14ac:dyDescent="0.2">
      <c r="A458" s="45" t="s">
        <v>1444</v>
      </c>
      <c r="B458" s="45">
        <v>25759</v>
      </c>
      <c r="C458" s="50" t="s">
        <v>19</v>
      </c>
      <c r="D458" s="50" t="s">
        <v>1445</v>
      </c>
      <c r="E458" s="80" t="s">
        <v>21</v>
      </c>
      <c r="F458" s="50" t="s">
        <v>240</v>
      </c>
      <c r="G458" s="50" t="s">
        <v>1446</v>
      </c>
      <c r="H458" s="88">
        <v>2880</v>
      </c>
      <c r="I458" s="88"/>
      <c r="J458" s="89"/>
      <c r="K458" s="89"/>
      <c r="L458" s="89">
        <f t="shared" si="14"/>
        <v>2880</v>
      </c>
      <c r="M458" s="87">
        <f t="shared" si="15"/>
        <v>2880</v>
      </c>
      <c r="N458" s="89"/>
      <c r="O458" s="89"/>
      <c r="P458" s="48">
        <v>41061</v>
      </c>
      <c r="Q458" s="48">
        <v>41183</v>
      </c>
      <c r="R458" s="61">
        <v>10130</v>
      </c>
    </row>
    <row r="459" spans="1:18" s="1" customFormat="1" ht="38.25" x14ac:dyDescent="0.2">
      <c r="A459" s="45" t="s">
        <v>1447</v>
      </c>
      <c r="B459" s="45">
        <v>22728</v>
      </c>
      <c r="C459" s="50" t="s">
        <v>19</v>
      </c>
      <c r="D459" s="50" t="s">
        <v>779</v>
      </c>
      <c r="E459" s="80" t="s">
        <v>21</v>
      </c>
      <c r="F459" s="50" t="s">
        <v>240</v>
      </c>
      <c r="G459" s="50" t="s">
        <v>1448</v>
      </c>
      <c r="H459" s="88">
        <v>2880</v>
      </c>
      <c r="I459" s="88"/>
      <c r="J459" s="89"/>
      <c r="K459" s="89"/>
      <c r="L459" s="89">
        <f t="shared" si="14"/>
        <v>2880</v>
      </c>
      <c r="M459" s="87">
        <f t="shared" si="15"/>
        <v>2880</v>
      </c>
      <c r="N459" s="89"/>
      <c r="O459" s="89"/>
      <c r="P459" s="48">
        <v>41061</v>
      </c>
      <c r="Q459" s="48">
        <v>41183</v>
      </c>
      <c r="R459" s="61">
        <v>10135</v>
      </c>
    </row>
    <row r="460" spans="1:18" s="1" customFormat="1" ht="38.25" x14ac:dyDescent="0.2">
      <c r="A460" s="45" t="s">
        <v>1449</v>
      </c>
      <c r="B460" s="45">
        <v>18118</v>
      </c>
      <c r="C460" s="50" t="s">
        <v>19</v>
      </c>
      <c r="D460" s="50" t="s">
        <v>1450</v>
      </c>
      <c r="E460" s="80" t="s">
        <v>21</v>
      </c>
      <c r="F460" s="50" t="s">
        <v>45</v>
      </c>
      <c r="G460" s="50" t="s">
        <v>1451</v>
      </c>
      <c r="H460" s="88">
        <v>600</v>
      </c>
      <c r="I460" s="88"/>
      <c r="J460" s="89"/>
      <c r="K460" s="89"/>
      <c r="L460" s="89">
        <f t="shared" si="14"/>
        <v>600</v>
      </c>
      <c r="M460" s="87">
        <f t="shared" si="15"/>
        <v>600</v>
      </c>
      <c r="N460" s="89"/>
      <c r="O460" s="89"/>
      <c r="P460" s="48">
        <v>41061</v>
      </c>
      <c r="Q460" s="48">
        <v>41183</v>
      </c>
      <c r="R460" s="61">
        <v>10114</v>
      </c>
    </row>
    <row r="461" spans="1:18" s="1" customFormat="1" ht="38.25" x14ac:dyDescent="0.2">
      <c r="A461" s="45" t="s">
        <v>1452</v>
      </c>
      <c r="B461" s="45">
        <v>25587</v>
      </c>
      <c r="C461" s="50" t="s">
        <v>19</v>
      </c>
      <c r="D461" s="50" t="s">
        <v>1453</v>
      </c>
      <c r="E461" s="80" t="s">
        <v>21</v>
      </c>
      <c r="F461" s="50" t="s">
        <v>26</v>
      </c>
      <c r="G461" s="50" t="s">
        <v>1454</v>
      </c>
      <c r="H461" s="88">
        <v>5500</v>
      </c>
      <c r="I461" s="88"/>
      <c r="J461" s="89"/>
      <c r="K461" s="89"/>
      <c r="L461" s="89">
        <f t="shared" si="14"/>
        <v>5500</v>
      </c>
      <c r="M461" s="87">
        <f t="shared" si="15"/>
        <v>5500</v>
      </c>
      <c r="N461" s="89"/>
      <c r="O461" s="89"/>
      <c r="P461" s="48">
        <v>41061</v>
      </c>
      <c r="Q461" s="48">
        <v>41183</v>
      </c>
      <c r="R461" s="61">
        <v>10165</v>
      </c>
    </row>
    <row r="462" spans="1:18" s="1" customFormat="1" ht="38.25" x14ac:dyDescent="0.2">
      <c r="A462" s="45" t="s">
        <v>1455</v>
      </c>
      <c r="B462" s="45">
        <v>3237</v>
      </c>
      <c r="C462" s="50" t="s">
        <v>19</v>
      </c>
      <c r="D462" s="50" t="s">
        <v>1456</v>
      </c>
      <c r="E462" s="80" t="s">
        <v>21</v>
      </c>
      <c r="F462" s="50" t="s">
        <v>26</v>
      </c>
      <c r="G462" s="50" t="s">
        <v>1454</v>
      </c>
      <c r="H462" s="88">
        <v>3840</v>
      </c>
      <c r="I462" s="88"/>
      <c r="J462" s="89"/>
      <c r="K462" s="89"/>
      <c r="L462" s="89">
        <f t="shared" si="14"/>
        <v>3840</v>
      </c>
      <c r="M462" s="87">
        <f t="shared" si="15"/>
        <v>3840</v>
      </c>
      <c r="N462" s="89"/>
      <c r="O462" s="89"/>
      <c r="P462" s="48">
        <v>41061</v>
      </c>
      <c r="Q462" s="48">
        <v>41183</v>
      </c>
      <c r="R462" s="61">
        <v>10141</v>
      </c>
    </row>
    <row r="463" spans="1:18" s="1" customFormat="1" ht="38.25" x14ac:dyDescent="0.2">
      <c r="A463" s="45" t="s">
        <v>1457</v>
      </c>
      <c r="B463" s="45">
        <v>25748</v>
      </c>
      <c r="C463" s="50" t="s">
        <v>19</v>
      </c>
      <c r="D463" s="50" t="s">
        <v>1458</v>
      </c>
      <c r="E463" s="80" t="s">
        <v>21</v>
      </c>
      <c r="F463" s="50" t="s">
        <v>22</v>
      </c>
      <c r="G463" s="50" t="s">
        <v>1428</v>
      </c>
      <c r="H463" s="88">
        <v>800</v>
      </c>
      <c r="I463" s="88"/>
      <c r="J463" s="89"/>
      <c r="K463" s="89"/>
      <c r="L463" s="89">
        <f t="shared" si="14"/>
        <v>800</v>
      </c>
      <c r="M463" s="87">
        <f t="shared" si="15"/>
        <v>800</v>
      </c>
      <c r="N463" s="89"/>
      <c r="O463" s="89"/>
      <c r="P463" s="48">
        <v>41061</v>
      </c>
      <c r="Q463" s="48">
        <v>41183</v>
      </c>
      <c r="R463" s="61">
        <v>10131</v>
      </c>
    </row>
    <row r="464" spans="1:18" s="1" customFormat="1" ht="38.25" x14ac:dyDescent="0.2">
      <c r="A464" s="45" t="s">
        <v>1459</v>
      </c>
      <c r="B464" s="45">
        <v>25733</v>
      </c>
      <c r="C464" s="50" t="s">
        <v>19</v>
      </c>
      <c r="D464" s="50" t="s">
        <v>1460</v>
      </c>
      <c r="E464" s="80" t="s">
        <v>21</v>
      </c>
      <c r="F464" s="50" t="s">
        <v>22</v>
      </c>
      <c r="G464" s="50" t="s">
        <v>1461</v>
      </c>
      <c r="H464" s="88">
        <v>600</v>
      </c>
      <c r="I464" s="88"/>
      <c r="J464" s="89"/>
      <c r="K464" s="89"/>
      <c r="L464" s="89">
        <f t="shared" si="14"/>
        <v>600</v>
      </c>
      <c r="M464" s="87">
        <f t="shared" si="15"/>
        <v>600</v>
      </c>
      <c r="N464" s="89"/>
      <c r="O464" s="89"/>
      <c r="P464" s="48">
        <v>41091</v>
      </c>
      <c r="Q464" s="48">
        <v>41214</v>
      </c>
      <c r="R464" s="61">
        <v>1083</v>
      </c>
    </row>
    <row r="465" spans="1:18" s="1" customFormat="1" ht="38.25" x14ac:dyDescent="0.2">
      <c r="A465" s="45" t="s">
        <v>1462</v>
      </c>
      <c r="B465" s="45">
        <v>23146</v>
      </c>
      <c r="C465" s="50" t="s">
        <v>19</v>
      </c>
      <c r="D465" s="50" t="s">
        <v>1463</v>
      </c>
      <c r="E465" s="80" t="s">
        <v>21</v>
      </c>
      <c r="F465" s="50" t="s">
        <v>167</v>
      </c>
      <c r="G465" s="50" t="s">
        <v>1464</v>
      </c>
      <c r="H465" s="88">
        <v>3324.6</v>
      </c>
      <c r="I465" s="88"/>
      <c r="J465" s="89"/>
      <c r="K465" s="89"/>
      <c r="L465" s="89">
        <f t="shared" si="14"/>
        <v>3324.6</v>
      </c>
      <c r="M465" s="87">
        <f t="shared" si="15"/>
        <v>3324.6</v>
      </c>
      <c r="N465" s="89"/>
      <c r="O465" s="89"/>
      <c r="P465" s="48">
        <v>41061</v>
      </c>
      <c r="Q465" s="48">
        <v>41183</v>
      </c>
      <c r="R465" s="61">
        <v>10150</v>
      </c>
    </row>
    <row r="466" spans="1:18" s="1" customFormat="1" ht="38.25" x14ac:dyDescent="0.2">
      <c r="A466" s="45" t="s">
        <v>1465</v>
      </c>
      <c r="B466" s="45">
        <v>24923</v>
      </c>
      <c r="C466" s="50" t="s">
        <v>19</v>
      </c>
      <c r="D466" s="50" t="s">
        <v>1466</v>
      </c>
      <c r="E466" s="80" t="s">
        <v>21</v>
      </c>
      <c r="F466" s="50" t="s">
        <v>167</v>
      </c>
      <c r="G466" s="50" t="s">
        <v>1467</v>
      </c>
      <c r="H466" s="88">
        <v>600</v>
      </c>
      <c r="I466" s="88"/>
      <c r="J466" s="89"/>
      <c r="K466" s="89"/>
      <c r="L466" s="89">
        <f t="shared" si="14"/>
        <v>600</v>
      </c>
      <c r="M466" s="87">
        <f t="shared" si="15"/>
        <v>600</v>
      </c>
      <c r="N466" s="89"/>
      <c r="O466" s="89"/>
      <c r="P466" s="48">
        <v>41061</v>
      </c>
      <c r="Q466" s="48">
        <v>41183</v>
      </c>
      <c r="R466" s="61">
        <v>10128</v>
      </c>
    </row>
    <row r="467" spans="1:18" s="1" customFormat="1" ht="38.25" x14ac:dyDescent="0.2">
      <c r="A467" s="45" t="s">
        <v>1468</v>
      </c>
      <c r="B467" s="45">
        <v>25431</v>
      </c>
      <c r="C467" s="50" t="s">
        <v>19</v>
      </c>
      <c r="D467" s="50" t="s">
        <v>1469</v>
      </c>
      <c r="E467" s="80" t="s">
        <v>21</v>
      </c>
      <c r="F467" s="50" t="s">
        <v>45</v>
      </c>
      <c r="G467" s="50" t="s">
        <v>1470</v>
      </c>
      <c r="H467" s="88">
        <v>5800</v>
      </c>
      <c r="I467" s="88"/>
      <c r="J467" s="89"/>
      <c r="K467" s="89"/>
      <c r="L467" s="89">
        <f t="shared" si="14"/>
        <v>5800</v>
      </c>
      <c r="M467" s="87">
        <f t="shared" si="15"/>
        <v>5800</v>
      </c>
      <c r="N467" s="89"/>
      <c r="O467" s="89"/>
      <c r="P467" s="48">
        <v>41092</v>
      </c>
      <c r="Q467" s="48">
        <v>41215</v>
      </c>
      <c r="R467" s="49">
        <v>11134</v>
      </c>
    </row>
    <row r="468" spans="1:18" s="1" customFormat="1" ht="38.25" x14ac:dyDescent="0.2">
      <c r="A468" s="45" t="s">
        <v>1471</v>
      </c>
      <c r="B468" s="45">
        <v>24960</v>
      </c>
      <c r="C468" s="50" t="s">
        <v>19</v>
      </c>
      <c r="D468" s="50" t="s">
        <v>1472</v>
      </c>
      <c r="E468" s="80" t="s">
        <v>21</v>
      </c>
      <c r="F468" s="50" t="s">
        <v>71</v>
      </c>
      <c r="G468" s="50" t="s">
        <v>1473</v>
      </c>
      <c r="H468" s="88">
        <v>940</v>
      </c>
      <c r="I468" s="88"/>
      <c r="J468" s="89"/>
      <c r="K468" s="89"/>
      <c r="L468" s="89">
        <f t="shared" si="14"/>
        <v>940</v>
      </c>
      <c r="M468" s="87">
        <f t="shared" si="15"/>
        <v>940</v>
      </c>
      <c r="N468" s="89"/>
      <c r="O468" s="89"/>
      <c r="P468" s="48">
        <v>41061</v>
      </c>
      <c r="Q468" s="48">
        <v>41183</v>
      </c>
      <c r="R468" s="61">
        <v>10109</v>
      </c>
    </row>
    <row r="469" spans="1:18" s="1" customFormat="1" ht="38.25" x14ac:dyDescent="0.2">
      <c r="A469" s="45" t="s">
        <v>1474</v>
      </c>
      <c r="B469" s="45">
        <v>25343</v>
      </c>
      <c r="C469" s="50" t="s">
        <v>19</v>
      </c>
      <c r="D469" s="50" t="s">
        <v>1475</v>
      </c>
      <c r="E469" s="80" t="s">
        <v>21</v>
      </c>
      <c r="F469" s="50" t="s">
        <v>167</v>
      </c>
      <c r="G469" s="50" t="s">
        <v>1476</v>
      </c>
      <c r="H469" s="88">
        <v>1336</v>
      </c>
      <c r="I469" s="88"/>
      <c r="J469" s="89"/>
      <c r="K469" s="89"/>
      <c r="L469" s="89">
        <f t="shared" si="14"/>
        <v>1336</v>
      </c>
      <c r="M469" s="87">
        <f t="shared" si="15"/>
        <v>1336</v>
      </c>
      <c r="N469" s="89"/>
      <c r="O469" s="89"/>
      <c r="P469" s="48">
        <v>41092</v>
      </c>
      <c r="Q469" s="48">
        <v>41215</v>
      </c>
      <c r="R469" s="49">
        <v>10865</v>
      </c>
    </row>
    <row r="470" spans="1:18" s="1" customFormat="1" ht="38.25" x14ac:dyDescent="0.2">
      <c r="A470" s="45" t="s">
        <v>1477</v>
      </c>
      <c r="B470" s="45">
        <v>25782</v>
      </c>
      <c r="C470" s="50" t="s">
        <v>19</v>
      </c>
      <c r="D470" s="50" t="s">
        <v>1478</v>
      </c>
      <c r="E470" s="80" t="s">
        <v>21</v>
      </c>
      <c r="F470" s="50" t="s">
        <v>98</v>
      </c>
      <c r="G470" s="50" t="s">
        <v>1479</v>
      </c>
      <c r="H470" s="88">
        <v>700</v>
      </c>
      <c r="I470" s="88"/>
      <c r="J470" s="89"/>
      <c r="K470" s="89"/>
      <c r="L470" s="89">
        <f t="shared" si="14"/>
        <v>700</v>
      </c>
      <c r="M470" s="87">
        <f t="shared" si="15"/>
        <v>700</v>
      </c>
      <c r="N470" s="89"/>
      <c r="O470" s="89"/>
      <c r="P470" s="48">
        <v>41061</v>
      </c>
      <c r="Q470" s="48">
        <v>41183</v>
      </c>
      <c r="R470" s="61">
        <v>10123</v>
      </c>
    </row>
    <row r="471" spans="1:18" s="1" customFormat="1" ht="38.25" x14ac:dyDescent="0.2">
      <c r="A471" s="45" t="s">
        <v>1480</v>
      </c>
      <c r="B471" s="45">
        <v>25546</v>
      </c>
      <c r="C471" s="50" t="s">
        <v>19</v>
      </c>
      <c r="D471" s="50" t="s">
        <v>1481</v>
      </c>
      <c r="E471" s="80" t="s">
        <v>21</v>
      </c>
      <c r="F471" s="50" t="s">
        <v>87</v>
      </c>
      <c r="G471" s="50" t="s">
        <v>1482</v>
      </c>
      <c r="H471" s="88">
        <v>3756</v>
      </c>
      <c r="I471" s="88"/>
      <c r="J471" s="89"/>
      <c r="K471" s="89"/>
      <c r="L471" s="89">
        <f t="shared" si="14"/>
        <v>3756</v>
      </c>
      <c r="M471" s="87">
        <f t="shared" si="15"/>
        <v>3756</v>
      </c>
      <c r="N471" s="89"/>
      <c r="O471" s="89"/>
      <c r="P471" s="48">
        <v>41061</v>
      </c>
      <c r="Q471" s="48">
        <v>41183</v>
      </c>
      <c r="R471" s="61">
        <v>10147</v>
      </c>
    </row>
    <row r="472" spans="1:18" s="1" customFormat="1" ht="38.25" x14ac:dyDescent="0.2">
      <c r="A472" s="45" t="s">
        <v>1483</v>
      </c>
      <c r="B472" s="45">
        <v>24518</v>
      </c>
      <c r="C472" s="50" t="s">
        <v>263</v>
      </c>
      <c r="D472" s="50" t="s">
        <v>1484</v>
      </c>
      <c r="E472" s="80" t="s">
        <v>21</v>
      </c>
      <c r="F472" s="50" t="s">
        <v>94</v>
      </c>
      <c r="G472" s="50" t="s">
        <v>1485</v>
      </c>
      <c r="H472" s="88">
        <v>3451.2</v>
      </c>
      <c r="I472" s="88"/>
      <c r="J472" s="89"/>
      <c r="K472" s="89"/>
      <c r="L472" s="89">
        <f t="shared" si="14"/>
        <v>3451.2</v>
      </c>
      <c r="M472" s="87">
        <f t="shared" si="15"/>
        <v>3451.2</v>
      </c>
      <c r="N472" s="89"/>
      <c r="O472" s="89"/>
      <c r="P472" s="48">
        <v>41078</v>
      </c>
      <c r="Q472" s="48">
        <v>41808</v>
      </c>
      <c r="R472" s="49">
        <v>9963</v>
      </c>
    </row>
    <row r="473" spans="1:18" s="1" customFormat="1" ht="38.25" x14ac:dyDescent="0.2">
      <c r="A473" s="45" t="s">
        <v>1486</v>
      </c>
      <c r="B473" s="45" t="s">
        <v>1487</v>
      </c>
      <c r="C473" s="50" t="s">
        <v>48</v>
      </c>
      <c r="D473" s="50" t="s">
        <v>1488</v>
      </c>
      <c r="E473" s="80" t="s">
        <v>1489</v>
      </c>
      <c r="F473" s="50" t="s">
        <v>26</v>
      </c>
      <c r="G473" s="50" t="s">
        <v>1490</v>
      </c>
      <c r="H473" s="88">
        <v>3750</v>
      </c>
      <c r="I473" s="88">
        <v>12000</v>
      </c>
      <c r="J473" s="89"/>
      <c r="K473" s="89">
        <v>8250</v>
      </c>
      <c r="L473" s="89">
        <f t="shared" si="14"/>
        <v>24000</v>
      </c>
      <c r="M473" s="87">
        <f t="shared" si="15"/>
        <v>24000</v>
      </c>
      <c r="N473" s="89"/>
      <c r="O473" s="89"/>
      <c r="P473" s="48">
        <v>41102</v>
      </c>
      <c r="Q473" s="48">
        <v>41863</v>
      </c>
      <c r="R473" s="49">
        <v>10310</v>
      </c>
    </row>
    <row r="474" spans="1:18" s="1" customFormat="1" ht="38.25" x14ac:dyDescent="0.2">
      <c r="A474" s="45" t="s">
        <v>1491</v>
      </c>
      <c r="B474" s="45">
        <v>15382</v>
      </c>
      <c r="C474" s="50" t="s">
        <v>19</v>
      </c>
      <c r="D474" s="50" t="s">
        <v>1492</v>
      </c>
      <c r="E474" s="80" t="s">
        <v>21</v>
      </c>
      <c r="F474" s="50" t="s">
        <v>167</v>
      </c>
      <c r="G474" s="50" t="s">
        <v>1493</v>
      </c>
      <c r="H474" s="88">
        <v>780</v>
      </c>
      <c r="I474" s="88"/>
      <c r="J474" s="89"/>
      <c r="K474" s="89"/>
      <c r="L474" s="89">
        <f t="shared" si="14"/>
        <v>780</v>
      </c>
      <c r="M474" s="87">
        <f t="shared" si="15"/>
        <v>780</v>
      </c>
      <c r="N474" s="89"/>
      <c r="O474" s="89"/>
      <c r="P474" s="48">
        <v>41092</v>
      </c>
      <c r="Q474" s="48">
        <v>41215</v>
      </c>
      <c r="R474" s="49">
        <v>10801</v>
      </c>
    </row>
    <row r="475" spans="1:18" s="1" customFormat="1" ht="38.25" x14ac:dyDescent="0.2">
      <c r="A475" s="45" t="s">
        <v>1494</v>
      </c>
      <c r="B475" s="45">
        <v>25879</v>
      </c>
      <c r="C475" s="50" t="s">
        <v>19</v>
      </c>
      <c r="D475" s="50" t="s">
        <v>179</v>
      </c>
      <c r="E475" s="80" t="s">
        <v>21</v>
      </c>
      <c r="F475" s="50" t="s">
        <v>167</v>
      </c>
      <c r="G475" s="50" t="s">
        <v>1495</v>
      </c>
      <c r="H475" s="88">
        <v>1440</v>
      </c>
      <c r="I475" s="88"/>
      <c r="J475" s="89"/>
      <c r="K475" s="89"/>
      <c r="L475" s="89">
        <f t="shared" si="14"/>
        <v>1440</v>
      </c>
      <c r="M475" s="87">
        <f t="shared" si="15"/>
        <v>1440</v>
      </c>
      <c r="N475" s="89"/>
      <c r="O475" s="89"/>
      <c r="P475" s="48">
        <v>41092</v>
      </c>
      <c r="Q475" s="48">
        <v>41215</v>
      </c>
      <c r="R475" s="49">
        <v>10746</v>
      </c>
    </row>
    <row r="476" spans="1:18" s="1" customFormat="1" ht="38.25" x14ac:dyDescent="0.2">
      <c r="A476" s="45" t="s">
        <v>1496</v>
      </c>
      <c r="B476" s="45">
        <v>24952</v>
      </c>
      <c r="C476" s="50" t="s">
        <v>1497</v>
      </c>
      <c r="D476" s="50" t="s">
        <v>711</v>
      </c>
      <c r="E476" s="80" t="s">
        <v>21</v>
      </c>
      <c r="F476" s="50" t="s">
        <v>167</v>
      </c>
      <c r="G476" s="50" t="s">
        <v>1431</v>
      </c>
      <c r="H476" s="88">
        <v>4500</v>
      </c>
      <c r="I476" s="88"/>
      <c r="J476" s="89"/>
      <c r="K476" s="89"/>
      <c r="L476" s="89">
        <f t="shared" si="14"/>
        <v>4500</v>
      </c>
      <c r="M476" s="87">
        <f t="shared" si="15"/>
        <v>4500</v>
      </c>
      <c r="N476" s="89"/>
      <c r="O476" s="89"/>
      <c r="P476" s="48">
        <v>41078</v>
      </c>
      <c r="Q476" s="48">
        <v>41200</v>
      </c>
      <c r="R476" s="61">
        <v>10051</v>
      </c>
    </row>
    <row r="477" spans="1:18" s="1" customFormat="1" ht="38.25" x14ac:dyDescent="0.2">
      <c r="A477" s="45" t="s">
        <v>1498</v>
      </c>
      <c r="B477" s="45">
        <v>25778</v>
      </c>
      <c r="C477" s="50" t="s">
        <v>1497</v>
      </c>
      <c r="D477" s="50" t="s">
        <v>1499</v>
      </c>
      <c r="E477" s="80" t="s">
        <v>21</v>
      </c>
      <c r="F477" s="50" t="s">
        <v>167</v>
      </c>
      <c r="G477" s="50" t="s">
        <v>1431</v>
      </c>
      <c r="H477" s="88">
        <v>4500</v>
      </c>
      <c r="I477" s="88"/>
      <c r="J477" s="89"/>
      <c r="K477" s="89"/>
      <c r="L477" s="89">
        <f t="shared" si="14"/>
        <v>4500</v>
      </c>
      <c r="M477" s="87">
        <f t="shared" si="15"/>
        <v>4500</v>
      </c>
      <c r="N477" s="89"/>
      <c r="O477" s="89"/>
      <c r="P477" s="48">
        <v>41078</v>
      </c>
      <c r="Q477" s="48">
        <v>41200</v>
      </c>
      <c r="R477" s="61">
        <v>10024</v>
      </c>
    </row>
    <row r="478" spans="1:18" s="1" customFormat="1" ht="25.5" x14ac:dyDescent="0.2">
      <c r="A478" s="45" t="s">
        <v>1500</v>
      </c>
      <c r="B478" s="45">
        <v>32916</v>
      </c>
      <c r="C478" s="50" t="s">
        <v>35</v>
      </c>
      <c r="D478" s="50" t="s">
        <v>166</v>
      </c>
      <c r="E478" s="80" t="s">
        <v>308</v>
      </c>
      <c r="F478" s="50" t="s">
        <v>167</v>
      </c>
      <c r="G478" s="50" t="s">
        <v>1501</v>
      </c>
      <c r="H478" s="88">
        <v>17000</v>
      </c>
      <c r="I478" s="88"/>
      <c r="J478" s="89"/>
      <c r="K478" s="89"/>
      <c r="L478" s="89">
        <f t="shared" si="14"/>
        <v>17000</v>
      </c>
      <c r="M478" s="87">
        <f t="shared" si="15"/>
        <v>17000</v>
      </c>
      <c r="N478" s="89"/>
      <c r="O478" s="89"/>
      <c r="P478" s="48">
        <v>41109</v>
      </c>
      <c r="Q478" s="48">
        <v>41293</v>
      </c>
      <c r="R478" s="61">
        <v>10778</v>
      </c>
    </row>
    <row r="479" spans="1:18" s="1" customFormat="1" ht="38.25" x14ac:dyDescent="0.2">
      <c r="A479" s="45" t="s">
        <v>1502</v>
      </c>
      <c r="B479" s="45">
        <v>25758</v>
      </c>
      <c r="C479" s="50" t="s">
        <v>107</v>
      </c>
      <c r="D479" s="50" t="s">
        <v>1503</v>
      </c>
      <c r="E479" s="80" t="s">
        <v>21</v>
      </c>
      <c r="F479" s="50" t="s">
        <v>94</v>
      </c>
      <c r="G479" s="50" t="s">
        <v>1504</v>
      </c>
      <c r="H479" s="88">
        <v>1140</v>
      </c>
      <c r="I479" s="88"/>
      <c r="J479" s="89"/>
      <c r="K479" s="89"/>
      <c r="L479" s="89">
        <f t="shared" si="14"/>
        <v>1140</v>
      </c>
      <c r="M479" s="87">
        <f t="shared" si="15"/>
        <v>1140</v>
      </c>
      <c r="N479" s="89"/>
      <c r="O479" s="89"/>
      <c r="P479" s="48">
        <v>41072</v>
      </c>
      <c r="Q479" s="48">
        <v>41194</v>
      </c>
      <c r="R479" s="61">
        <v>10036</v>
      </c>
    </row>
    <row r="480" spans="1:18" s="1" customFormat="1" ht="38.25" x14ac:dyDescent="0.2">
      <c r="A480" s="45" t="s">
        <v>1505</v>
      </c>
      <c r="B480" s="45">
        <v>20901</v>
      </c>
      <c r="C480" s="50" t="s">
        <v>107</v>
      </c>
      <c r="D480" s="50" t="s">
        <v>1506</v>
      </c>
      <c r="E480" s="80" t="s">
        <v>21</v>
      </c>
      <c r="F480" s="50"/>
      <c r="G480" s="50" t="s">
        <v>1507</v>
      </c>
      <c r="H480" s="88">
        <v>4000</v>
      </c>
      <c r="I480" s="88"/>
      <c r="J480" s="89"/>
      <c r="K480" s="89"/>
      <c r="L480" s="89">
        <f t="shared" si="14"/>
        <v>4000</v>
      </c>
      <c r="M480" s="87">
        <f t="shared" si="15"/>
        <v>4000</v>
      </c>
      <c r="N480" s="89"/>
      <c r="O480" s="89"/>
      <c r="P480" s="48">
        <v>41071</v>
      </c>
      <c r="Q480" s="48">
        <v>41193</v>
      </c>
      <c r="R480" s="61">
        <v>10026</v>
      </c>
    </row>
    <row r="481" spans="1:18" s="1" customFormat="1" ht="38.25" x14ac:dyDescent="0.2">
      <c r="A481" s="45" t="s">
        <v>1508</v>
      </c>
      <c r="B481" s="45">
        <v>25752</v>
      </c>
      <c r="C481" s="50" t="s">
        <v>1497</v>
      </c>
      <c r="D481" s="50" t="s">
        <v>1509</v>
      </c>
      <c r="E481" s="80" t="s">
        <v>21</v>
      </c>
      <c r="F481" s="84"/>
      <c r="G481" s="50" t="s">
        <v>1507</v>
      </c>
      <c r="H481" s="88">
        <v>4000</v>
      </c>
      <c r="I481" s="88"/>
      <c r="J481" s="89"/>
      <c r="K481" s="89"/>
      <c r="L481" s="89">
        <f t="shared" si="14"/>
        <v>4000</v>
      </c>
      <c r="M481" s="87">
        <f t="shared" si="15"/>
        <v>4000</v>
      </c>
      <c r="N481" s="89"/>
      <c r="O481" s="89"/>
      <c r="P481" s="48">
        <v>41071</v>
      </c>
      <c r="Q481" s="48">
        <v>41193</v>
      </c>
      <c r="R481" s="61">
        <v>10033</v>
      </c>
    </row>
    <row r="482" spans="1:18" s="1" customFormat="1" ht="38.25" x14ac:dyDescent="0.2">
      <c r="A482" s="45" t="s">
        <v>1510</v>
      </c>
      <c r="B482" s="45">
        <v>25856</v>
      </c>
      <c r="C482" s="50" t="s">
        <v>19</v>
      </c>
      <c r="D482" s="50" t="s">
        <v>1511</v>
      </c>
      <c r="E482" s="80" t="s">
        <v>1512</v>
      </c>
      <c r="F482" s="50" t="s">
        <v>167</v>
      </c>
      <c r="G482" s="50" t="s">
        <v>1513</v>
      </c>
      <c r="H482" s="88">
        <v>1600</v>
      </c>
      <c r="I482" s="88"/>
      <c r="J482" s="89"/>
      <c r="K482" s="89"/>
      <c r="L482" s="89">
        <f t="shared" si="14"/>
        <v>1600</v>
      </c>
      <c r="M482" s="87">
        <f t="shared" si="15"/>
        <v>1600</v>
      </c>
      <c r="N482" s="89"/>
      <c r="O482" s="89"/>
      <c r="P482" s="48">
        <v>41092</v>
      </c>
      <c r="Q482" s="48">
        <v>41215</v>
      </c>
      <c r="R482" s="49">
        <v>10850</v>
      </c>
    </row>
    <row r="483" spans="1:18" s="1" customFormat="1" ht="38.25" x14ac:dyDescent="0.2">
      <c r="A483" s="45" t="s">
        <v>1514</v>
      </c>
      <c r="B483" s="45">
        <v>25754</v>
      </c>
      <c r="C483" s="50" t="s">
        <v>66</v>
      </c>
      <c r="D483" s="50" t="s">
        <v>1515</v>
      </c>
      <c r="E483" s="80" t="s">
        <v>21</v>
      </c>
      <c r="F483" s="50" t="s">
        <v>94</v>
      </c>
      <c r="G483" s="50" t="s">
        <v>1516</v>
      </c>
      <c r="H483" s="88">
        <v>4000</v>
      </c>
      <c r="I483" s="88"/>
      <c r="J483" s="89"/>
      <c r="K483" s="89"/>
      <c r="L483" s="89">
        <f t="shared" si="14"/>
        <v>4000</v>
      </c>
      <c r="M483" s="87">
        <f t="shared" si="15"/>
        <v>4000</v>
      </c>
      <c r="N483" s="89"/>
      <c r="O483" s="89"/>
      <c r="P483" s="48">
        <v>41071</v>
      </c>
      <c r="Q483" s="48">
        <v>41193</v>
      </c>
      <c r="R483" s="49">
        <v>9506</v>
      </c>
    </row>
    <row r="484" spans="1:18" s="1" customFormat="1" ht="38.25" x14ac:dyDescent="0.2">
      <c r="A484" s="45" t="s">
        <v>1517</v>
      </c>
      <c r="B484" s="45">
        <v>25777</v>
      </c>
      <c r="C484" s="50" t="s">
        <v>66</v>
      </c>
      <c r="D484" s="50" t="s">
        <v>1518</v>
      </c>
      <c r="E484" s="80" t="s">
        <v>21</v>
      </c>
      <c r="F484" s="50" t="s">
        <v>94</v>
      </c>
      <c r="G484" s="50" t="s">
        <v>1516</v>
      </c>
      <c r="H484" s="88">
        <v>4000</v>
      </c>
      <c r="I484" s="88"/>
      <c r="J484" s="89"/>
      <c r="K484" s="89"/>
      <c r="L484" s="89">
        <f t="shared" si="14"/>
        <v>4000</v>
      </c>
      <c r="M484" s="87">
        <f t="shared" si="15"/>
        <v>4000</v>
      </c>
      <c r="N484" s="89"/>
      <c r="O484" s="89"/>
      <c r="P484" s="48">
        <v>41071</v>
      </c>
      <c r="Q484" s="48">
        <v>41193</v>
      </c>
      <c r="R484" s="49">
        <v>9511</v>
      </c>
    </row>
    <row r="485" spans="1:18" s="1" customFormat="1" ht="25.5" x14ac:dyDescent="0.2">
      <c r="A485" s="45" t="s">
        <v>1519</v>
      </c>
      <c r="B485" s="45">
        <v>32877</v>
      </c>
      <c r="C485" s="50" t="s">
        <v>35</v>
      </c>
      <c r="D485" s="50" t="s">
        <v>972</v>
      </c>
      <c r="E485" s="80" t="s">
        <v>308</v>
      </c>
      <c r="F485" s="50" t="s">
        <v>94</v>
      </c>
      <c r="G485" s="50" t="s">
        <v>1520</v>
      </c>
      <c r="H485" s="88">
        <v>7616.8</v>
      </c>
      <c r="I485" s="88"/>
      <c r="J485" s="89"/>
      <c r="K485" s="89"/>
      <c r="L485" s="89">
        <f t="shared" si="14"/>
        <v>7616.8</v>
      </c>
      <c r="M485" s="87">
        <f t="shared" si="15"/>
        <v>7616.8</v>
      </c>
      <c r="N485" s="89"/>
      <c r="O485" s="89"/>
      <c r="P485" s="48">
        <v>41109</v>
      </c>
      <c r="Q485" s="48">
        <v>41293</v>
      </c>
      <c r="R485" s="49">
        <v>10560</v>
      </c>
    </row>
    <row r="486" spans="1:18" s="1" customFormat="1" ht="38.25" x14ac:dyDescent="0.2">
      <c r="A486" s="45" t="s">
        <v>1521</v>
      </c>
      <c r="B486" s="45">
        <v>25437</v>
      </c>
      <c r="C486" s="50" t="s">
        <v>212</v>
      </c>
      <c r="D486" s="50" t="s">
        <v>1522</v>
      </c>
      <c r="E486" s="80" t="s">
        <v>21</v>
      </c>
      <c r="F486" s="50" t="s">
        <v>22</v>
      </c>
      <c r="G486" s="50" t="s">
        <v>1523</v>
      </c>
      <c r="H486" s="88">
        <v>2675.4</v>
      </c>
      <c r="I486" s="88"/>
      <c r="J486" s="89"/>
      <c r="K486" s="89"/>
      <c r="L486" s="89">
        <f t="shared" si="14"/>
        <v>2675.4</v>
      </c>
      <c r="M486" s="87">
        <f t="shared" si="15"/>
        <v>2675.4</v>
      </c>
      <c r="N486" s="89"/>
      <c r="O486" s="89"/>
      <c r="P486" s="48">
        <v>41078</v>
      </c>
      <c r="Q486" s="48">
        <v>41808</v>
      </c>
      <c r="R486" s="49">
        <v>9831</v>
      </c>
    </row>
    <row r="487" spans="1:18" s="1" customFormat="1" ht="38.25" x14ac:dyDescent="0.2">
      <c r="A487" s="45" t="s">
        <v>1524</v>
      </c>
      <c r="B487" s="45">
        <v>25529</v>
      </c>
      <c r="C487" s="50" t="s">
        <v>231</v>
      </c>
      <c r="D487" s="50" t="s">
        <v>1525</v>
      </c>
      <c r="E487" s="80" t="s">
        <v>21</v>
      </c>
      <c r="F487" s="50" t="s">
        <v>167</v>
      </c>
      <c r="G487" s="50" t="s">
        <v>1431</v>
      </c>
      <c r="H487" s="88">
        <v>3960</v>
      </c>
      <c r="I487" s="88"/>
      <c r="J487" s="89"/>
      <c r="K487" s="89"/>
      <c r="L487" s="89">
        <f t="shared" si="14"/>
        <v>3960</v>
      </c>
      <c r="M487" s="87">
        <f t="shared" si="15"/>
        <v>3960</v>
      </c>
      <c r="N487" s="89"/>
      <c r="O487" s="89"/>
      <c r="P487" s="48">
        <v>41078</v>
      </c>
      <c r="Q487" s="48">
        <v>41808</v>
      </c>
      <c r="R487" s="49">
        <v>9502</v>
      </c>
    </row>
    <row r="488" spans="1:18" s="1" customFormat="1" ht="38.25" x14ac:dyDescent="0.2">
      <c r="A488" s="45" t="s">
        <v>1526</v>
      </c>
      <c r="B488" s="45">
        <v>25815</v>
      </c>
      <c r="C488" s="50" t="s">
        <v>231</v>
      </c>
      <c r="D488" s="50" t="s">
        <v>1527</v>
      </c>
      <c r="E488" s="80" t="s">
        <v>21</v>
      </c>
      <c r="F488" s="50" t="s">
        <v>71</v>
      </c>
      <c r="G488" s="50" t="s">
        <v>1528</v>
      </c>
      <c r="H488" s="88">
        <v>1300</v>
      </c>
      <c r="I488" s="88"/>
      <c r="J488" s="89"/>
      <c r="K488" s="89"/>
      <c r="L488" s="89">
        <f t="shared" si="14"/>
        <v>1300</v>
      </c>
      <c r="M488" s="87">
        <f t="shared" si="15"/>
        <v>1300</v>
      </c>
      <c r="N488" s="89"/>
      <c r="O488" s="89"/>
      <c r="P488" s="48">
        <v>41078</v>
      </c>
      <c r="Q488" s="48">
        <v>41808</v>
      </c>
      <c r="R488" s="49">
        <v>9500</v>
      </c>
    </row>
    <row r="489" spans="1:18" s="1" customFormat="1" ht="38.25" x14ac:dyDescent="0.2">
      <c r="A489" s="45" t="s">
        <v>1529</v>
      </c>
      <c r="B489" s="45">
        <v>22454</v>
      </c>
      <c r="C489" s="50" t="s">
        <v>1530</v>
      </c>
      <c r="D489" s="50" t="s">
        <v>1531</v>
      </c>
      <c r="E489" s="80" t="s">
        <v>21</v>
      </c>
      <c r="F489" s="50" t="s">
        <v>26</v>
      </c>
      <c r="G489" s="50" t="s">
        <v>1454</v>
      </c>
      <c r="H489" s="88">
        <v>4000</v>
      </c>
      <c r="I489" s="88"/>
      <c r="J489" s="89"/>
      <c r="K489" s="89"/>
      <c r="L489" s="89">
        <f t="shared" si="14"/>
        <v>4000</v>
      </c>
      <c r="M489" s="87">
        <f t="shared" si="15"/>
        <v>4000</v>
      </c>
      <c r="N489" s="89"/>
      <c r="O489" s="89"/>
      <c r="P489" s="48">
        <v>41082</v>
      </c>
      <c r="Q489" s="48">
        <v>41204</v>
      </c>
      <c r="R489" s="49">
        <v>9869</v>
      </c>
    </row>
    <row r="490" spans="1:18" s="1" customFormat="1" ht="38.25" x14ac:dyDescent="0.2">
      <c r="A490" s="45" t="s">
        <v>1532</v>
      </c>
      <c r="B490" s="45">
        <v>32637</v>
      </c>
      <c r="C490" s="50" t="s">
        <v>107</v>
      </c>
      <c r="D490" s="50" t="s">
        <v>1533</v>
      </c>
      <c r="E490" s="80" t="s">
        <v>308</v>
      </c>
      <c r="F490" s="50" t="s">
        <v>98</v>
      </c>
      <c r="G490" s="50" t="s">
        <v>1534</v>
      </c>
      <c r="H490" s="88">
        <v>3760</v>
      </c>
      <c r="I490" s="88"/>
      <c r="J490" s="89"/>
      <c r="K490" s="89"/>
      <c r="L490" s="89">
        <f t="shared" si="14"/>
        <v>3760</v>
      </c>
      <c r="M490" s="87">
        <f t="shared" si="15"/>
        <v>3760</v>
      </c>
      <c r="N490" s="89"/>
      <c r="O490" s="89"/>
      <c r="P490" s="48">
        <v>41099</v>
      </c>
      <c r="Q490" s="48">
        <v>41283</v>
      </c>
      <c r="R490" s="49">
        <v>11019</v>
      </c>
    </row>
    <row r="491" spans="1:18" s="1" customFormat="1" ht="38.25" x14ac:dyDescent="0.2">
      <c r="A491" s="45" t="s">
        <v>1535</v>
      </c>
      <c r="B491" s="45">
        <v>6553</v>
      </c>
      <c r="C491" s="50" t="s">
        <v>534</v>
      </c>
      <c r="D491" s="50" t="s">
        <v>1536</v>
      </c>
      <c r="E491" s="80" t="s">
        <v>21</v>
      </c>
      <c r="F491" s="50" t="s">
        <v>45</v>
      </c>
      <c r="G491" s="50" t="s">
        <v>1537</v>
      </c>
      <c r="H491" s="88">
        <v>2997</v>
      </c>
      <c r="I491" s="88"/>
      <c r="J491" s="89"/>
      <c r="K491" s="89"/>
      <c r="L491" s="89">
        <f t="shared" si="14"/>
        <v>2997</v>
      </c>
      <c r="M491" s="87">
        <f t="shared" si="15"/>
        <v>2997</v>
      </c>
      <c r="N491" s="89"/>
      <c r="O491" s="89"/>
      <c r="P491" s="48">
        <v>41092</v>
      </c>
      <c r="Q491" s="48">
        <v>41215</v>
      </c>
      <c r="R491" s="49">
        <v>11034</v>
      </c>
    </row>
    <row r="492" spans="1:18" s="1" customFormat="1" ht="38.25" x14ac:dyDescent="0.2">
      <c r="A492" s="45" t="s">
        <v>1538</v>
      </c>
      <c r="B492" s="45">
        <v>25794</v>
      </c>
      <c r="C492" s="50" t="s">
        <v>534</v>
      </c>
      <c r="D492" s="50" t="s">
        <v>1539</v>
      </c>
      <c r="E492" s="80" t="s">
        <v>21</v>
      </c>
      <c r="F492" s="50" t="s">
        <v>45</v>
      </c>
      <c r="G492" s="50" t="s">
        <v>1540</v>
      </c>
      <c r="H492" s="88">
        <v>2997</v>
      </c>
      <c r="I492" s="88"/>
      <c r="J492" s="89"/>
      <c r="K492" s="89"/>
      <c r="L492" s="89">
        <f t="shared" si="14"/>
        <v>2997</v>
      </c>
      <c r="M492" s="87">
        <f t="shared" si="15"/>
        <v>2997</v>
      </c>
      <c r="N492" s="89"/>
      <c r="O492" s="89"/>
      <c r="P492" s="48">
        <v>41092</v>
      </c>
      <c r="Q492" s="48">
        <v>41215</v>
      </c>
      <c r="R492" s="49">
        <v>11038</v>
      </c>
    </row>
    <row r="493" spans="1:18" s="1" customFormat="1" ht="38.25" x14ac:dyDescent="0.2">
      <c r="A493" s="45" t="s">
        <v>1541</v>
      </c>
      <c r="B493" s="45">
        <v>20006</v>
      </c>
      <c r="C493" s="50" t="s">
        <v>35</v>
      </c>
      <c r="D493" s="50" t="s">
        <v>1542</v>
      </c>
      <c r="E493" s="80" t="s">
        <v>21</v>
      </c>
      <c r="F493" s="50" t="s">
        <v>63</v>
      </c>
      <c r="G493" s="50" t="s">
        <v>1543</v>
      </c>
      <c r="H493" s="88">
        <v>5987</v>
      </c>
      <c r="I493" s="88"/>
      <c r="J493" s="89"/>
      <c r="K493" s="89"/>
      <c r="L493" s="89">
        <f t="shared" si="14"/>
        <v>5987</v>
      </c>
      <c r="M493" s="87">
        <f t="shared" si="15"/>
        <v>5987</v>
      </c>
      <c r="N493" s="89"/>
      <c r="O493" s="89"/>
      <c r="P493" s="48">
        <v>41078</v>
      </c>
      <c r="Q493" s="48">
        <v>41200</v>
      </c>
      <c r="R493" s="61">
        <v>10101</v>
      </c>
    </row>
    <row r="494" spans="1:18" s="1" customFormat="1" ht="38.25" x14ac:dyDescent="0.2">
      <c r="A494" s="45" t="s">
        <v>1544</v>
      </c>
      <c r="B494" s="45">
        <v>24944</v>
      </c>
      <c r="C494" s="50" t="s">
        <v>1241</v>
      </c>
      <c r="D494" s="50" t="s">
        <v>1545</v>
      </c>
      <c r="E494" s="80" t="s">
        <v>21</v>
      </c>
      <c r="F494" s="50" t="s">
        <v>167</v>
      </c>
      <c r="G494" s="50" t="s">
        <v>1546</v>
      </c>
      <c r="H494" s="88">
        <v>4200</v>
      </c>
      <c r="I494" s="88"/>
      <c r="J494" s="89"/>
      <c r="K494" s="89"/>
      <c r="L494" s="89">
        <f t="shared" si="14"/>
        <v>4200</v>
      </c>
      <c r="M494" s="87">
        <f t="shared" si="15"/>
        <v>4200</v>
      </c>
      <c r="N494" s="89"/>
      <c r="O494" s="89"/>
      <c r="P494" s="48">
        <v>41075</v>
      </c>
      <c r="Q494" s="48">
        <v>41197</v>
      </c>
      <c r="R494" s="49">
        <v>9503</v>
      </c>
    </row>
    <row r="495" spans="1:18" s="1" customFormat="1" ht="51" x14ac:dyDescent="0.2">
      <c r="A495" s="45" t="s">
        <v>1547</v>
      </c>
      <c r="B495" s="45">
        <v>25804</v>
      </c>
      <c r="C495" s="50" t="s">
        <v>414</v>
      </c>
      <c r="D495" s="50" t="s">
        <v>1548</v>
      </c>
      <c r="E495" s="80" t="s">
        <v>21</v>
      </c>
      <c r="F495" s="50" t="s">
        <v>26</v>
      </c>
      <c r="G495" s="50" t="s">
        <v>1549</v>
      </c>
      <c r="H495" s="88">
        <v>480</v>
      </c>
      <c r="I495" s="88"/>
      <c r="J495" s="89"/>
      <c r="K495" s="89"/>
      <c r="L495" s="89">
        <f t="shared" si="14"/>
        <v>480</v>
      </c>
      <c r="M495" s="87">
        <f t="shared" si="15"/>
        <v>480</v>
      </c>
      <c r="N495" s="89"/>
      <c r="O495" s="89"/>
      <c r="P495" s="48">
        <v>41081</v>
      </c>
      <c r="Q495" s="48">
        <v>41203</v>
      </c>
      <c r="R495" s="61">
        <v>10090</v>
      </c>
    </row>
    <row r="496" spans="1:18" s="1" customFormat="1" ht="38.25" x14ac:dyDescent="0.2">
      <c r="A496" s="45" t="s">
        <v>1550</v>
      </c>
      <c r="B496" s="45">
        <v>25274</v>
      </c>
      <c r="C496" s="50" t="s">
        <v>43</v>
      </c>
      <c r="D496" s="50" t="s">
        <v>1551</v>
      </c>
      <c r="E496" s="80" t="s">
        <v>21</v>
      </c>
      <c r="F496" s="50" t="s">
        <v>22</v>
      </c>
      <c r="G496" s="50" t="s">
        <v>1552</v>
      </c>
      <c r="H496" s="88">
        <v>6000</v>
      </c>
      <c r="I496" s="88"/>
      <c r="J496" s="89"/>
      <c r="K496" s="89"/>
      <c r="L496" s="89">
        <f t="shared" si="14"/>
        <v>6000</v>
      </c>
      <c r="M496" s="87">
        <f t="shared" si="15"/>
        <v>6000</v>
      </c>
      <c r="N496" s="89"/>
      <c r="O496" s="89"/>
      <c r="P496" s="48">
        <v>41092</v>
      </c>
      <c r="Q496" s="48">
        <v>41215</v>
      </c>
      <c r="R496" s="49">
        <v>10880</v>
      </c>
    </row>
    <row r="497" spans="1:18" s="1" customFormat="1" ht="38.25" x14ac:dyDescent="0.2">
      <c r="A497" s="45" t="s">
        <v>1553</v>
      </c>
      <c r="B497" s="45">
        <v>24955</v>
      </c>
      <c r="C497" s="50" t="s">
        <v>43</v>
      </c>
      <c r="D497" s="50" t="s">
        <v>1554</v>
      </c>
      <c r="E497" s="80" t="s">
        <v>21</v>
      </c>
      <c r="F497" s="50" t="s">
        <v>94</v>
      </c>
      <c r="G497" s="50" t="s">
        <v>1555</v>
      </c>
      <c r="H497" s="88">
        <v>3894</v>
      </c>
      <c r="I497" s="88"/>
      <c r="J497" s="89"/>
      <c r="K497" s="89"/>
      <c r="L497" s="89">
        <f t="shared" si="14"/>
        <v>3894</v>
      </c>
      <c r="M497" s="87">
        <f t="shared" si="15"/>
        <v>3894</v>
      </c>
      <c r="N497" s="89"/>
      <c r="O497" s="89"/>
      <c r="P497" s="48">
        <v>41094</v>
      </c>
      <c r="Q497" s="48">
        <v>41217</v>
      </c>
      <c r="R497" s="49">
        <v>10775</v>
      </c>
    </row>
    <row r="498" spans="1:18" s="1" customFormat="1" ht="25.5" x14ac:dyDescent="0.2">
      <c r="A498" s="45" t="s">
        <v>1556</v>
      </c>
      <c r="B498" s="64">
        <v>15300</v>
      </c>
      <c r="C498" s="50" t="s">
        <v>263</v>
      </c>
      <c r="D498" s="50" t="s">
        <v>1557</v>
      </c>
      <c r="E498" s="80" t="s">
        <v>1558</v>
      </c>
      <c r="F498" s="81" t="s">
        <v>63</v>
      </c>
      <c r="G498" s="50" t="s">
        <v>1559</v>
      </c>
      <c r="H498" s="88"/>
      <c r="I498" s="88">
        <v>26400</v>
      </c>
      <c r="J498" s="89"/>
      <c r="K498" s="89"/>
      <c r="L498" s="89">
        <f t="shared" si="14"/>
        <v>26400</v>
      </c>
      <c r="M498" s="87">
        <f t="shared" si="15"/>
        <v>26400</v>
      </c>
      <c r="N498" s="89"/>
      <c r="O498" s="89"/>
      <c r="P498" s="48">
        <v>41092</v>
      </c>
      <c r="Q498" s="48">
        <v>41488</v>
      </c>
      <c r="R498" s="61">
        <v>10151</v>
      </c>
    </row>
    <row r="499" spans="1:18" s="1" customFormat="1" ht="76.5" x14ac:dyDescent="0.2">
      <c r="A499" s="45" t="s">
        <v>1560</v>
      </c>
      <c r="B499" s="64">
        <v>24280</v>
      </c>
      <c r="C499" s="50" t="s">
        <v>263</v>
      </c>
      <c r="D499" s="50" t="s">
        <v>711</v>
      </c>
      <c r="E499" s="80" t="s">
        <v>1558</v>
      </c>
      <c r="F499" s="50" t="s">
        <v>167</v>
      </c>
      <c r="G499" s="50" t="s">
        <v>1561</v>
      </c>
      <c r="H499" s="88"/>
      <c r="I499" s="88">
        <v>13200</v>
      </c>
      <c r="J499" s="89"/>
      <c r="K499" s="89"/>
      <c r="L499" s="89">
        <f t="shared" si="14"/>
        <v>13200</v>
      </c>
      <c r="M499" s="87">
        <f t="shared" si="15"/>
        <v>13200</v>
      </c>
      <c r="N499" s="89"/>
      <c r="O499" s="89"/>
      <c r="P499" s="48">
        <v>41092</v>
      </c>
      <c r="Q499" s="48">
        <v>41488</v>
      </c>
      <c r="R499" s="61">
        <v>10153</v>
      </c>
    </row>
    <row r="500" spans="1:18" s="1" customFormat="1" ht="38.25" x14ac:dyDescent="0.2">
      <c r="A500" s="45" t="s">
        <v>1562</v>
      </c>
      <c r="B500" s="64">
        <v>23461</v>
      </c>
      <c r="C500" s="50" t="s">
        <v>263</v>
      </c>
      <c r="D500" s="50" t="s">
        <v>1563</v>
      </c>
      <c r="E500" s="80" t="s">
        <v>1558</v>
      </c>
      <c r="F500" s="81" t="s">
        <v>94</v>
      </c>
      <c r="G500" s="50" t="s">
        <v>1564</v>
      </c>
      <c r="H500" s="88"/>
      <c r="I500" s="88">
        <v>13200</v>
      </c>
      <c r="J500" s="89"/>
      <c r="K500" s="89"/>
      <c r="L500" s="89">
        <f t="shared" si="14"/>
        <v>13200</v>
      </c>
      <c r="M500" s="87">
        <f t="shared" si="15"/>
        <v>13200</v>
      </c>
      <c r="N500" s="89"/>
      <c r="O500" s="89"/>
      <c r="P500" s="48">
        <v>41092</v>
      </c>
      <c r="Q500" s="48">
        <v>41488</v>
      </c>
      <c r="R500" s="61">
        <v>10156</v>
      </c>
    </row>
    <row r="501" spans="1:18" s="1" customFormat="1" ht="38.25" x14ac:dyDescent="0.2">
      <c r="A501" s="45" t="s">
        <v>1565</v>
      </c>
      <c r="B501" s="64">
        <v>24163</v>
      </c>
      <c r="C501" s="50" t="s">
        <v>263</v>
      </c>
      <c r="D501" s="50" t="s">
        <v>1566</v>
      </c>
      <c r="E501" s="80" t="s">
        <v>1558</v>
      </c>
      <c r="F501" s="81" t="s">
        <v>22</v>
      </c>
      <c r="G501" s="50" t="s">
        <v>1567</v>
      </c>
      <c r="H501" s="88"/>
      <c r="I501" s="88">
        <v>9600</v>
      </c>
      <c r="J501" s="89"/>
      <c r="K501" s="89"/>
      <c r="L501" s="89">
        <f t="shared" si="14"/>
        <v>9600</v>
      </c>
      <c r="M501" s="87">
        <f t="shared" si="15"/>
        <v>9600</v>
      </c>
      <c r="N501" s="89"/>
      <c r="O501" s="89"/>
      <c r="P501" s="48">
        <v>41092</v>
      </c>
      <c r="Q501" s="48">
        <v>41853</v>
      </c>
      <c r="R501" s="61">
        <v>10154</v>
      </c>
    </row>
    <row r="502" spans="1:18" s="1" customFormat="1" ht="38.25" x14ac:dyDescent="0.2">
      <c r="A502" s="45" t="s">
        <v>1568</v>
      </c>
      <c r="B502" s="64">
        <v>24204</v>
      </c>
      <c r="C502" s="50" t="s">
        <v>263</v>
      </c>
      <c r="D502" s="50" t="s">
        <v>684</v>
      </c>
      <c r="E502" s="80" t="s">
        <v>1558</v>
      </c>
      <c r="F502" s="50" t="s">
        <v>167</v>
      </c>
      <c r="G502" s="50" t="s">
        <v>1569</v>
      </c>
      <c r="H502" s="88"/>
      <c r="I502" s="88">
        <v>13200</v>
      </c>
      <c r="J502" s="89"/>
      <c r="K502" s="89"/>
      <c r="L502" s="89">
        <f t="shared" si="14"/>
        <v>13200</v>
      </c>
      <c r="M502" s="87">
        <f t="shared" si="15"/>
        <v>13200</v>
      </c>
      <c r="N502" s="89"/>
      <c r="O502" s="89"/>
      <c r="P502" s="48">
        <v>41092</v>
      </c>
      <c r="Q502" s="48">
        <v>41488</v>
      </c>
      <c r="R502" s="61">
        <v>10148</v>
      </c>
    </row>
    <row r="503" spans="1:18" s="1" customFormat="1" ht="51" x14ac:dyDescent="0.2">
      <c r="A503" s="45" t="s">
        <v>1570</v>
      </c>
      <c r="B503" s="64">
        <v>24213</v>
      </c>
      <c r="C503" s="50" t="s">
        <v>263</v>
      </c>
      <c r="D503" s="50" t="s">
        <v>1571</v>
      </c>
      <c r="E503" s="80" t="s">
        <v>1558</v>
      </c>
      <c r="F503" s="50" t="s">
        <v>167</v>
      </c>
      <c r="G503" s="50" t="s">
        <v>1572</v>
      </c>
      <c r="H503" s="88"/>
      <c r="I503" s="88">
        <v>13200</v>
      </c>
      <c r="J503" s="89"/>
      <c r="K503" s="89"/>
      <c r="L503" s="89">
        <f t="shared" si="14"/>
        <v>13200</v>
      </c>
      <c r="M503" s="87">
        <f t="shared" si="15"/>
        <v>13200</v>
      </c>
      <c r="N503" s="89"/>
      <c r="O503" s="89"/>
      <c r="P503" s="48">
        <v>41092</v>
      </c>
      <c r="Q503" s="48">
        <v>41488</v>
      </c>
      <c r="R503" s="61">
        <v>10158</v>
      </c>
    </row>
    <row r="504" spans="1:18" s="1" customFormat="1" ht="38.25" x14ac:dyDescent="0.2">
      <c r="A504" s="45" t="s">
        <v>1573</v>
      </c>
      <c r="B504" s="64">
        <v>22166</v>
      </c>
      <c r="C504" s="50" t="s">
        <v>390</v>
      </c>
      <c r="D504" s="50" t="s">
        <v>678</v>
      </c>
      <c r="E504" s="80" t="s">
        <v>1558</v>
      </c>
      <c r="F504" s="50" t="s">
        <v>398</v>
      </c>
      <c r="G504" s="50" t="s">
        <v>1574</v>
      </c>
      <c r="H504" s="88"/>
      <c r="I504" s="88">
        <v>26400</v>
      </c>
      <c r="J504" s="89"/>
      <c r="K504" s="89"/>
      <c r="L504" s="89">
        <f t="shared" si="14"/>
        <v>26400</v>
      </c>
      <c r="M504" s="87">
        <f t="shared" si="15"/>
        <v>26400</v>
      </c>
      <c r="N504" s="89"/>
      <c r="O504" s="89"/>
      <c r="P504" s="48">
        <v>41085</v>
      </c>
      <c r="Q504" s="48">
        <v>41480</v>
      </c>
      <c r="R504" s="61">
        <v>10061</v>
      </c>
    </row>
    <row r="505" spans="1:18" s="1" customFormat="1" ht="38.25" x14ac:dyDescent="0.2">
      <c r="A505" s="45" t="s">
        <v>1575</v>
      </c>
      <c r="B505" s="64">
        <v>24236</v>
      </c>
      <c r="C505" s="50" t="s">
        <v>107</v>
      </c>
      <c r="D505" s="50" t="s">
        <v>1576</v>
      </c>
      <c r="E505" s="80" t="s">
        <v>1558</v>
      </c>
      <c r="F505" s="50" t="s">
        <v>71</v>
      </c>
      <c r="G505" s="50" t="s">
        <v>1577</v>
      </c>
      <c r="H505" s="88"/>
      <c r="I505" s="88">
        <v>13200</v>
      </c>
      <c r="J505" s="89"/>
      <c r="K505" s="89"/>
      <c r="L505" s="89">
        <f t="shared" si="14"/>
        <v>13200</v>
      </c>
      <c r="M505" s="87">
        <f t="shared" si="15"/>
        <v>13200</v>
      </c>
      <c r="N505" s="89"/>
      <c r="O505" s="89"/>
      <c r="P505" s="48">
        <v>41085</v>
      </c>
      <c r="Q505" s="48">
        <v>41480</v>
      </c>
      <c r="R505" s="49">
        <v>9957</v>
      </c>
    </row>
    <row r="506" spans="1:18" s="1" customFormat="1" ht="51" x14ac:dyDescent="0.2">
      <c r="A506" s="45" t="s">
        <v>1578</v>
      </c>
      <c r="B506" s="64">
        <v>21279</v>
      </c>
      <c r="C506" s="50" t="s">
        <v>243</v>
      </c>
      <c r="D506" s="50" t="s">
        <v>1579</v>
      </c>
      <c r="E506" s="80" t="s">
        <v>1558</v>
      </c>
      <c r="F506" s="50" t="s">
        <v>167</v>
      </c>
      <c r="G506" s="50" t="s">
        <v>1580</v>
      </c>
      <c r="H506" s="88"/>
      <c r="I506" s="88">
        <v>26400</v>
      </c>
      <c r="J506" s="89"/>
      <c r="K506" s="89"/>
      <c r="L506" s="89">
        <f t="shared" si="14"/>
        <v>26400</v>
      </c>
      <c r="M506" s="87">
        <f t="shared" si="15"/>
        <v>26400</v>
      </c>
      <c r="N506" s="89"/>
      <c r="O506" s="89"/>
      <c r="P506" s="48">
        <v>41085</v>
      </c>
      <c r="Q506" s="48">
        <v>41480</v>
      </c>
      <c r="R506" s="61">
        <v>10017</v>
      </c>
    </row>
    <row r="507" spans="1:18" s="1" customFormat="1" ht="25.5" x14ac:dyDescent="0.2">
      <c r="A507" s="45" t="s">
        <v>1581</v>
      </c>
      <c r="B507" s="64">
        <v>23532</v>
      </c>
      <c r="C507" s="50" t="s">
        <v>243</v>
      </c>
      <c r="D507" s="50" t="s">
        <v>1582</v>
      </c>
      <c r="E507" s="80" t="s">
        <v>1558</v>
      </c>
      <c r="F507" s="50" t="s">
        <v>98</v>
      </c>
      <c r="G507" s="50" t="s">
        <v>1583</v>
      </c>
      <c r="H507" s="88"/>
      <c r="I507" s="88">
        <v>9600</v>
      </c>
      <c r="J507" s="89"/>
      <c r="K507" s="89"/>
      <c r="L507" s="89">
        <f t="shared" si="14"/>
        <v>9600</v>
      </c>
      <c r="M507" s="87">
        <f t="shared" si="15"/>
        <v>9600</v>
      </c>
      <c r="N507" s="89"/>
      <c r="O507" s="89"/>
      <c r="P507" s="48">
        <v>41085</v>
      </c>
      <c r="Q507" s="48">
        <v>41480</v>
      </c>
      <c r="R507" s="61">
        <v>10020</v>
      </c>
    </row>
    <row r="508" spans="1:18" s="1" customFormat="1" ht="25.5" x14ac:dyDescent="0.2">
      <c r="A508" s="45" t="s">
        <v>1584</v>
      </c>
      <c r="B508" s="64">
        <v>22498</v>
      </c>
      <c r="C508" s="50" t="s">
        <v>66</v>
      </c>
      <c r="D508" s="50" t="s">
        <v>609</v>
      </c>
      <c r="E508" s="80" t="s">
        <v>1558</v>
      </c>
      <c r="F508" s="50" t="s">
        <v>167</v>
      </c>
      <c r="G508" s="50" t="s">
        <v>1585</v>
      </c>
      <c r="H508" s="88"/>
      <c r="I508" s="88">
        <v>22000</v>
      </c>
      <c r="J508" s="89"/>
      <c r="K508" s="89"/>
      <c r="L508" s="89">
        <f t="shared" si="14"/>
        <v>22000</v>
      </c>
      <c r="M508" s="87">
        <f t="shared" si="15"/>
        <v>22000</v>
      </c>
      <c r="N508" s="89"/>
      <c r="O508" s="89"/>
      <c r="P508" s="48">
        <v>41087</v>
      </c>
      <c r="Q508" s="48">
        <v>41909</v>
      </c>
      <c r="R508" s="49">
        <v>10281</v>
      </c>
    </row>
    <row r="509" spans="1:18" s="1" customFormat="1" ht="38.25" x14ac:dyDescent="0.2">
      <c r="A509" s="45" t="s">
        <v>1586</v>
      </c>
      <c r="B509" s="64">
        <v>18177</v>
      </c>
      <c r="C509" s="50" t="s">
        <v>66</v>
      </c>
      <c r="D509" s="50" t="s">
        <v>1587</v>
      </c>
      <c r="E509" s="80" t="s">
        <v>1558</v>
      </c>
      <c r="F509" s="50" t="s">
        <v>45</v>
      </c>
      <c r="G509" s="50" t="s">
        <v>1588</v>
      </c>
      <c r="H509" s="88"/>
      <c r="I509" s="88">
        <v>22000</v>
      </c>
      <c r="J509" s="89"/>
      <c r="K509" s="89"/>
      <c r="L509" s="89">
        <f t="shared" si="14"/>
        <v>22000</v>
      </c>
      <c r="M509" s="87">
        <f t="shared" si="15"/>
        <v>22000</v>
      </c>
      <c r="N509" s="89"/>
      <c r="O509" s="89"/>
      <c r="P509" s="48">
        <v>41085</v>
      </c>
      <c r="Q509" s="48">
        <v>41907</v>
      </c>
      <c r="R509" s="49">
        <v>10294</v>
      </c>
    </row>
    <row r="510" spans="1:18" s="1" customFormat="1" ht="25.5" x14ac:dyDescent="0.2">
      <c r="A510" s="45" t="s">
        <v>1589</v>
      </c>
      <c r="B510" s="64">
        <v>24048</v>
      </c>
      <c r="C510" s="50" t="s">
        <v>66</v>
      </c>
      <c r="D510" s="50" t="s">
        <v>612</v>
      </c>
      <c r="E510" s="80" t="s">
        <v>1558</v>
      </c>
      <c r="F510" s="50" t="s">
        <v>398</v>
      </c>
      <c r="G510" s="50" t="s">
        <v>1590</v>
      </c>
      <c r="H510" s="88"/>
      <c r="I510" s="88">
        <v>22000</v>
      </c>
      <c r="J510" s="89"/>
      <c r="K510" s="89"/>
      <c r="L510" s="89">
        <f t="shared" si="14"/>
        <v>22000</v>
      </c>
      <c r="M510" s="87">
        <f t="shared" si="15"/>
        <v>22000</v>
      </c>
      <c r="N510" s="89"/>
      <c r="O510" s="89"/>
      <c r="P510" s="48">
        <v>41085</v>
      </c>
      <c r="Q510" s="48">
        <v>41907</v>
      </c>
      <c r="R510" s="49">
        <v>10295</v>
      </c>
    </row>
    <row r="511" spans="1:18" s="1" customFormat="1" ht="25.5" x14ac:dyDescent="0.2">
      <c r="A511" s="45" t="s">
        <v>1591</v>
      </c>
      <c r="B511" s="64">
        <v>24089</v>
      </c>
      <c r="C511" s="50" t="s">
        <v>66</v>
      </c>
      <c r="D511" s="50" t="s">
        <v>1592</v>
      </c>
      <c r="E511" s="80" t="s">
        <v>1558</v>
      </c>
      <c r="F511" s="50" t="s">
        <v>109</v>
      </c>
      <c r="G511" s="50" t="s">
        <v>1593</v>
      </c>
      <c r="H511" s="88"/>
      <c r="I511" s="88">
        <v>22000</v>
      </c>
      <c r="J511" s="89"/>
      <c r="K511" s="89"/>
      <c r="L511" s="89">
        <f t="shared" si="14"/>
        <v>22000</v>
      </c>
      <c r="M511" s="87">
        <f t="shared" si="15"/>
        <v>22000</v>
      </c>
      <c r="N511" s="89"/>
      <c r="O511" s="89"/>
      <c r="P511" s="48">
        <v>41087</v>
      </c>
      <c r="Q511" s="48">
        <v>41909</v>
      </c>
      <c r="R511" s="49">
        <v>10285</v>
      </c>
    </row>
    <row r="512" spans="1:18" s="1" customFormat="1" ht="38.25" x14ac:dyDescent="0.2">
      <c r="A512" s="45" t="s">
        <v>1594</v>
      </c>
      <c r="B512" s="64">
        <v>23824</v>
      </c>
      <c r="C512" s="50" t="s">
        <v>66</v>
      </c>
      <c r="D512" s="50" t="s">
        <v>594</v>
      </c>
      <c r="E512" s="80" t="s">
        <v>1558</v>
      </c>
      <c r="F512" s="50" t="s">
        <v>167</v>
      </c>
      <c r="G512" s="50" t="s">
        <v>1595</v>
      </c>
      <c r="H512" s="88"/>
      <c r="I512" s="88">
        <v>22000</v>
      </c>
      <c r="J512" s="89"/>
      <c r="K512" s="89"/>
      <c r="L512" s="89">
        <f t="shared" si="14"/>
        <v>22000</v>
      </c>
      <c r="M512" s="87">
        <f t="shared" si="15"/>
        <v>22000</v>
      </c>
      <c r="N512" s="89"/>
      <c r="O512" s="89"/>
      <c r="P512" s="48">
        <v>41085</v>
      </c>
      <c r="Q512" s="48">
        <v>41907</v>
      </c>
      <c r="R512" s="49">
        <v>10296</v>
      </c>
    </row>
    <row r="513" spans="1:18" s="1" customFormat="1" ht="25.5" x14ac:dyDescent="0.2">
      <c r="A513" s="45" t="s">
        <v>1596</v>
      </c>
      <c r="B513" s="64">
        <v>24272</v>
      </c>
      <c r="C513" s="50" t="s">
        <v>66</v>
      </c>
      <c r="D513" s="50" t="s">
        <v>1597</v>
      </c>
      <c r="E513" s="80" t="s">
        <v>1558</v>
      </c>
      <c r="F513" s="50" t="s">
        <v>167</v>
      </c>
      <c r="G513" s="50" t="s">
        <v>1583</v>
      </c>
      <c r="H513" s="88"/>
      <c r="I513" s="88">
        <v>22000</v>
      </c>
      <c r="J513" s="89"/>
      <c r="K513" s="89"/>
      <c r="L513" s="89">
        <f t="shared" si="14"/>
        <v>22000</v>
      </c>
      <c r="M513" s="87">
        <f t="shared" si="15"/>
        <v>22000</v>
      </c>
      <c r="N513" s="89"/>
      <c r="O513" s="89"/>
      <c r="P513" s="48">
        <v>41092</v>
      </c>
      <c r="Q513" s="48">
        <v>41914</v>
      </c>
      <c r="R513" s="49">
        <v>10402</v>
      </c>
    </row>
    <row r="514" spans="1:18" s="1" customFormat="1" ht="38.25" x14ac:dyDescent="0.2">
      <c r="A514" s="45" t="s">
        <v>1598</v>
      </c>
      <c r="B514" s="64">
        <v>32822</v>
      </c>
      <c r="C514" s="50" t="s">
        <v>1599</v>
      </c>
      <c r="D514" s="50" t="s">
        <v>1600</v>
      </c>
      <c r="E514" s="50" t="s">
        <v>308</v>
      </c>
      <c r="F514" s="50" t="s">
        <v>98</v>
      </c>
      <c r="G514" s="50" t="s">
        <v>1601</v>
      </c>
      <c r="H514" s="88">
        <v>9556.66</v>
      </c>
      <c r="I514" s="88"/>
      <c r="J514" s="89"/>
      <c r="K514" s="89"/>
      <c r="L514" s="89">
        <f t="shared" si="14"/>
        <v>9556.66</v>
      </c>
      <c r="M514" s="87">
        <f t="shared" si="15"/>
        <v>9556.66</v>
      </c>
      <c r="N514" s="89"/>
      <c r="O514" s="89"/>
      <c r="P514" s="48">
        <v>41190</v>
      </c>
      <c r="Q514" s="48">
        <v>41372</v>
      </c>
      <c r="R514" s="49">
        <v>11402</v>
      </c>
    </row>
    <row r="515" spans="1:18" s="1" customFormat="1" ht="38.25" x14ac:dyDescent="0.2">
      <c r="A515" s="45" t="s">
        <v>1602</v>
      </c>
      <c r="B515" s="64">
        <v>24258</v>
      </c>
      <c r="C515" s="50" t="s">
        <v>212</v>
      </c>
      <c r="D515" s="50" t="s">
        <v>1603</v>
      </c>
      <c r="E515" s="80" t="s">
        <v>1558</v>
      </c>
      <c r="F515" s="50" t="s">
        <v>71</v>
      </c>
      <c r="G515" s="50" t="s">
        <v>1604</v>
      </c>
      <c r="H515" s="88"/>
      <c r="I515" s="88">
        <v>19200</v>
      </c>
      <c r="J515" s="89"/>
      <c r="K515" s="89"/>
      <c r="L515" s="89">
        <f t="shared" si="14"/>
        <v>19200</v>
      </c>
      <c r="M515" s="87">
        <f t="shared" si="15"/>
        <v>19200</v>
      </c>
      <c r="N515" s="89"/>
      <c r="O515" s="89"/>
      <c r="P515" s="48">
        <v>41092</v>
      </c>
      <c r="Q515" s="48">
        <v>41853</v>
      </c>
      <c r="R515" s="61">
        <v>10159</v>
      </c>
    </row>
    <row r="516" spans="1:18" s="1" customFormat="1" ht="38.25" x14ac:dyDescent="0.2">
      <c r="A516" s="45" t="s">
        <v>1605</v>
      </c>
      <c r="B516" s="64">
        <v>24085</v>
      </c>
      <c r="C516" s="50" t="s">
        <v>231</v>
      </c>
      <c r="D516" s="50" t="s">
        <v>1606</v>
      </c>
      <c r="E516" s="80" t="s">
        <v>1558</v>
      </c>
      <c r="F516" s="50" t="s">
        <v>71</v>
      </c>
      <c r="G516" s="50" t="s">
        <v>1607</v>
      </c>
      <c r="H516" s="88"/>
      <c r="I516" s="88">
        <v>26400</v>
      </c>
      <c r="J516" s="89"/>
      <c r="K516" s="89"/>
      <c r="L516" s="89">
        <f t="shared" si="14"/>
        <v>26400</v>
      </c>
      <c r="M516" s="87">
        <f t="shared" si="15"/>
        <v>26400</v>
      </c>
      <c r="N516" s="89"/>
      <c r="O516" s="89"/>
      <c r="P516" s="48">
        <v>41085</v>
      </c>
      <c r="Q516" s="48">
        <v>41845</v>
      </c>
      <c r="R516" s="49">
        <v>9767</v>
      </c>
    </row>
    <row r="517" spans="1:18" s="1" customFormat="1" ht="51" x14ac:dyDescent="0.2">
      <c r="A517" s="45" t="s">
        <v>1608</v>
      </c>
      <c r="B517" s="64">
        <v>22890</v>
      </c>
      <c r="C517" s="50" t="s">
        <v>231</v>
      </c>
      <c r="D517" s="50" t="s">
        <v>1609</v>
      </c>
      <c r="E517" s="80" t="s">
        <v>1558</v>
      </c>
      <c r="F517" s="50" t="s">
        <v>167</v>
      </c>
      <c r="G517" s="50" t="s">
        <v>1610</v>
      </c>
      <c r="H517" s="88"/>
      <c r="I517" s="88">
        <v>26400</v>
      </c>
      <c r="J517" s="89"/>
      <c r="K517" s="89"/>
      <c r="L517" s="89">
        <f t="shared" si="14"/>
        <v>26400</v>
      </c>
      <c r="M517" s="87">
        <f t="shared" si="15"/>
        <v>26400</v>
      </c>
      <c r="N517" s="89"/>
      <c r="O517" s="89"/>
      <c r="P517" s="48">
        <v>41085</v>
      </c>
      <c r="Q517" s="48">
        <v>41845</v>
      </c>
      <c r="R517" s="49">
        <v>9766</v>
      </c>
    </row>
    <row r="518" spans="1:18" s="1" customFormat="1" ht="63.75" x14ac:dyDescent="0.2">
      <c r="A518" s="45" t="s">
        <v>1611</v>
      </c>
      <c r="B518" s="64">
        <v>11611</v>
      </c>
      <c r="C518" s="50" t="s">
        <v>414</v>
      </c>
      <c r="D518" s="50" t="s">
        <v>1612</v>
      </c>
      <c r="E518" s="80" t="s">
        <v>1558</v>
      </c>
      <c r="F518" s="50" t="s">
        <v>193</v>
      </c>
      <c r="G518" s="50" t="s">
        <v>1613</v>
      </c>
      <c r="H518" s="88"/>
      <c r="I518" s="88">
        <v>19200</v>
      </c>
      <c r="J518" s="89"/>
      <c r="K518" s="89"/>
      <c r="L518" s="89">
        <f t="shared" si="14"/>
        <v>19200</v>
      </c>
      <c r="M518" s="87">
        <f t="shared" si="15"/>
        <v>19200</v>
      </c>
      <c r="N518" s="89"/>
      <c r="O518" s="89"/>
      <c r="P518" s="48">
        <v>41085</v>
      </c>
      <c r="Q518" s="48">
        <v>41845</v>
      </c>
      <c r="R518" s="49">
        <v>9871</v>
      </c>
    </row>
    <row r="519" spans="1:18" s="1" customFormat="1" ht="51" x14ac:dyDescent="0.2">
      <c r="A519" s="45" t="s">
        <v>1614</v>
      </c>
      <c r="B519" s="64">
        <v>24181</v>
      </c>
      <c r="C519" s="50" t="s">
        <v>457</v>
      </c>
      <c r="D519" s="50" t="s">
        <v>1046</v>
      </c>
      <c r="E519" s="80" t="s">
        <v>1558</v>
      </c>
      <c r="F519" s="50" t="s">
        <v>63</v>
      </c>
      <c r="G519" s="50" t="s">
        <v>1615</v>
      </c>
      <c r="H519" s="88"/>
      <c r="I519" s="88">
        <v>52800</v>
      </c>
      <c r="J519" s="89"/>
      <c r="K519" s="89"/>
      <c r="L519" s="89">
        <f t="shared" ref="L519:L582" si="16">H519+I519+J519+K519</f>
        <v>52800</v>
      </c>
      <c r="M519" s="87">
        <f t="shared" ref="M519:M582" si="17">SUM(L519)</f>
        <v>52800</v>
      </c>
      <c r="N519" s="89"/>
      <c r="O519" s="89"/>
      <c r="P519" s="48">
        <v>41087</v>
      </c>
      <c r="Q519" s="48">
        <v>41847</v>
      </c>
      <c r="R519" s="49">
        <v>10286</v>
      </c>
    </row>
    <row r="520" spans="1:18" s="1" customFormat="1" ht="25.5" x14ac:dyDescent="0.2">
      <c r="A520" s="45" t="s">
        <v>1616</v>
      </c>
      <c r="B520" s="64">
        <v>23360</v>
      </c>
      <c r="C520" s="50" t="s">
        <v>319</v>
      </c>
      <c r="D520" s="50" t="s">
        <v>1617</v>
      </c>
      <c r="E520" s="80" t="s">
        <v>1558</v>
      </c>
      <c r="F520" s="50" t="s">
        <v>94</v>
      </c>
      <c r="G520" s="50" t="s">
        <v>1618</v>
      </c>
      <c r="H520" s="88"/>
      <c r="I520" s="88">
        <v>26400</v>
      </c>
      <c r="J520" s="89"/>
      <c r="K520" s="89"/>
      <c r="L520" s="89">
        <f t="shared" si="16"/>
        <v>26400</v>
      </c>
      <c r="M520" s="87">
        <f t="shared" si="17"/>
        <v>26400</v>
      </c>
      <c r="N520" s="89"/>
      <c r="O520" s="89"/>
      <c r="P520" s="48">
        <v>41124</v>
      </c>
      <c r="Q520" s="48">
        <v>41885</v>
      </c>
      <c r="R520" s="49">
        <v>10980</v>
      </c>
    </row>
    <row r="521" spans="1:18" s="1" customFormat="1" ht="25.5" x14ac:dyDescent="0.2">
      <c r="A521" s="45" t="s">
        <v>1619</v>
      </c>
      <c r="B521" s="64">
        <v>24267</v>
      </c>
      <c r="C521" s="50" t="s">
        <v>238</v>
      </c>
      <c r="D521" s="50" t="s">
        <v>550</v>
      </c>
      <c r="E521" s="80" t="s">
        <v>1558</v>
      </c>
      <c r="F521" s="50" t="s">
        <v>240</v>
      </c>
      <c r="G521" s="50" t="s">
        <v>1620</v>
      </c>
      <c r="H521" s="88"/>
      <c r="I521" s="88">
        <v>52800</v>
      </c>
      <c r="J521" s="89"/>
      <c r="K521" s="89"/>
      <c r="L521" s="89">
        <f t="shared" si="16"/>
        <v>52800</v>
      </c>
      <c r="M521" s="87">
        <f t="shared" si="17"/>
        <v>52800</v>
      </c>
      <c r="N521" s="89"/>
      <c r="O521" s="89"/>
      <c r="P521" s="48">
        <v>41092</v>
      </c>
      <c r="Q521" s="48">
        <v>41853</v>
      </c>
      <c r="R521" s="49">
        <v>10940</v>
      </c>
    </row>
    <row r="522" spans="1:18" s="1" customFormat="1" ht="25.5" x14ac:dyDescent="0.2">
      <c r="A522" s="45" t="s">
        <v>1621</v>
      </c>
      <c r="B522" s="64">
        <v>24343</v>
      </c>
      <c r="C522" s="50" t="s">
        <v>369</v>
      </c>
      <c r="D522" s="50" t="s">
        <v>1622</v>
      </c>
      <c r="E522" s="80" t="s">
        <v>1558</v>
      </c>
      <c r="F522" s="50" t="s">
        <v>63</v>
      </c>
      <c r="G522" s="50" t="s">
        <v>1623</v>
      </c>
      <c r="H522" s="88"/>
      <c r="I522" s="88">
        <v>39600</v>
      </c>
      <c r="J522" s="89"/>
      <c r="K522" s="89"/>
      <c r="L522" s="89">
        <f t="shared" si="16"/>
        <v>39600</v>
      </c>
      <c r="M522" s="87">
        <f t="shared" si="17"/>
        <v>39600</v>
      </c>
      <c r="N522" s="89"/>
      <c r="O522" s="89"/>
      <c r="P522" s="48">
        <v>41085</v>
      </c>
      <c r="Q522" s="48">
        <v>41664</v>
      </c>
      <c r="R522" s="61">
        <v>10086</v>
      </c>
    </row>
    <row r="523" spans="1:18" s="1" customFormat="1" ht="38.25" x14ac:dyDescent="0.2">
      <c r="A523" s="45" t="s">
        <v>1624</v>
      </c>
      <c r="B523" s="64">
        <v>22285</v>
      </c>
      <c r="C523" s="50" t="s">
        <v>369</v>
      </c>
      <c r="D523" s="50" t="s">
        <v>1625</v>
      </c>
      <c r="E523" s="80" t="s">
        <v>1558</v>
      </c>
      <c r="F523" s="50" t="s">
        <v>94</v>
      </c>
      <c r="G523" s="50" t="s">
        <v>1626</v>
      </c>
      <c r="H523" s="88"/>
      <c r="I523" s="88">
        <v>39600</v>
      </c>
      <c r="J523" s="89"/>
      <c r="K523" s="89"/>
      <c r="L523" s="89">
        <f t="shared" si="16"/>
        <v>39600</v>
      </c>
      <c r="M523" s="87">
        <f t="shared" si="17"/>
        <v>39600</v>
      </c>
      <c r="N523" s="89"/>
      <c r="O523" s="89"/>
      <c r="P523" s="48">
        <v>41085</v>
      </c>
      <c r="Q523" s="48">
        <v>41664</v>
      </c>
      <c r="R523" s="61">
        <v>10089</v>
      </c>
    </row>
    <row r="524" spans="1:18" s="1" customFormat="1" ht="25.5" x14ac:dyDescent="0.2">
      <c r="A524" s="45" t="s">
        <v>1627</v>
      </c>
      <c r="B524" s="64">
        <v>24217</v>
      </c>
      <c r="C524" s="50" t="s">
        <v>369</v>
      </c>
      <c r="D524" s="50" t="s">
        <v>1178</v>
      </c>
      <c r="E524" s="80" t="s">
        <v>1558</v>
      </c>
      <c r="F524" s="50" t="s">
        <v>63</v>
      </c>
      <c r="G524" s="50" t="s">
        <v>1628</v>
      </c>
      <c r="H524" s="88"/>
      <c r="I524" s="88">
        <v>39600</v>
      </c>
      <c r="J524" s="89"/>
      <c r="K524" s="89"/>
      <c r="L524" s="89">
        <f t="shared" si="16"/>
        <v>39600</v>
      </c>
      <c r="M524" s="87">
        <f t="shared" si="17"/>
        <v>39600</v>
      </c>
      <c r="N524" s="89"/>
      <c r="O524" s="89"/>
      <c r="P524" s="48">
        <v>41085</v>
      </c>
      <c r="Q524" s="48">
        <v>41664</v>
      </c>
      <c r="R524" s="61">
        <v>10082</v>
      </c>
    </row>
    <row r="525" spans="1:18" s="1" customFormat="1" ht="38.25" x14ac:dyDescent="0.2">
      <c r="A525" s="45" t="s">
        <v>1629</v>
      </c>
      <c r="B525" s="64">
        <v>24254</v>
      </c>
      <c r="C525" s="50" t="s">
        <v>369</v>
      </c>
      <c r="D525" s="50" t="s">
        <v>1630</v>
      </c>
      <c r="E525" s="80" t="s">
        <v>1558</v>
      </c>
      <c r="F525" s="50" t="s">
        <v>87</v>
      </c>
      <c r="G525" s="50" t="s">
        <v>1631</v>
      </c>
      <c r="H525" s="88"/>
      <c r="I525" s="88">
        <v>39600</v>
      </c>
      <c r="J525" s="89"/>
      <c r="K525" s="89"/>
      <c r="L525" s="89">
        <f t="shared" si="16"/>
        <v>39600</v>
      </c>
      <c r="M525" s="87">
        <f t="shared" si="17"/>
        <v>39600</v>
      </c>
      <c r="N525" s="89"/>
      <c r="O525" s="89"/>
      <c r="P525" s="48">
        <v>41085</v>
      </c>
      <c r="Q525" s="48">
        <v>41664</v>
      </c>
      <c r="R525" s="61">
        <v>10091</v>
      </c>
    </row>
    <row r="526" spans="1:18" s="1" customFormat="1" ht="25.5" x14ac:dyDescent="0.2">
      <c r="A526" s="45" t="s">
        <v>1632</v>
      </c>
      <c r="B526" s="64">
        <v>24092</v>
      </c>
      <c r="C526" s="50" t="s">
        <v>369</v>
      </c>
      <c r="D526" s="50" t="s">
        <v>1633</v>
      </c>
      <c r="E526" s="80" t="s">
        <v>1558</v>
      </c>
      <c r="F526" s="50" t="s">
        <v>167</v>
      </c>
      <c r="G526" s="50" t="s">
        <v>1634</v>
      </c>
      <c r="H526" s="88"/>
      <c r="I526" s="88">
        <v>39600</v>
      </c>
      <c r="J526" s="89"/>
      <c r="K526" s="89"/>
      <c r="L526" s="89">
        <f t="shared" si="16"/>
        <v>39600</v>
      </c>
      <c r="M526" s="87">
        <f t="shared" si="17"/>
        <v>39600</v>
      </c>
      <c r="N526" s="89"/>
      <c r="O526" s="89"/>
      <c r="P526" s="48">
        <v>41085</v>
      </c>
      <c r="Q526" s="48">
        <v>41664</v>
      </c>
      <c r="R526" s="61">
        <v>10080</v>
      </c>
    </row>
    <row r="527" spans="1:18" s="1" customFormat="1" ht="38.25" x14ac:dyDescent="0.2">
      <c r="A527" s="45" t="s">
        <v>1635</v>
      </c>
      <c r="B527" s="64">
        <v>22665</v>
      </c>
      <c r="C527" s="50" t="s">
        <v>43</v>
      </c>
      <c r="D527" s="50" t="s">
        <v>1266</v>
      </c>
      <c r="E527" s="80" t="s">
        <v>1558</v>
      </c>
      <c r="F527" s="50" t="s">
        <v>398</v>
      </c>
      <c r="G527" s="50" t="s">
        <v>1636</v>
      </c>
      <c r="H527" s="88"/>
      <c r="I527" s="88">
        <v>39600</v>
      </c>
      <c r="J527" s="89"/>
      <c r="K527" s="89"/>
      <c r="L527" s="89">
        <f t="shared" si="16"/>
        <v>39600</v>
      </c>
      <c r="M527" s="87">
        <f t="shared" si="17"/>
        <v>39600</v>
      </c>
      <c r="N527" s="89"/>
      <c r="O527" s="89"/>
      <c r="P527" s="48">
        <v>41122</v>
      </c>
      <c r="Q527" s="48">
        <v>41699</v>
      </c>
      <c r="R527" s="49">
        <v>10915</v>
      </c>
    </row>
    <row r="528" spans="1:18" s="1" customFormat="1" ht="38.25" x14ac:dyDescent="0.2">
      <c r="A528" s="45" t="s">
        <v>1637</v>
      </c>
      <c r="B528" s="64">
        <v>23176</v>
      </c>
      <c r="C528" s="50" t="s">
        <v>43</v>
      </c>
      <c r="D528" s="50" t="s">
        <v>1305</v>
      </c>
      <c r="E528" s="80" t="s">
        <v>1558</v>
      </c>
      <c r="F528" s="50" t="s">
        <v>94</v>
      </c>
      <c r="G528" s="50" t="s">
        <v>1638</v>
      </c>
      <c r="H528" s="88"/>
      <c r="I528" s="88">
        <v>39600</v>
      </c>
      <c r="J528" s="89"/>
      <c r="K528" s="89"/>
      <c r="L528" s="89">
        <f t="shared" si="16"/>
        <v>39600</v>
      </c>
      <c r="M528" s="87">
        <f t="shared" si="17"/>
        <v>39600</v>
      </c>
      <c r="N528" s="89"/>
      <c r="O528" s="89"/>
      <c r="P528" s="48">
        <v>41142</v>
      </c>
      <c r="Q528" s="48">
        <v>42003</v>
      </c>
      <c r="R528" s="49">
        <v>10997</v>
      </c>
    </row>
    <row r="529" spans="1:18" s="1" customFormat="1" ht="38.25" x14ac:dyDescent="0.2">
      <c r="A529" s="45" t="s">
        <v>1639</v>
      </c>
      <c r="B529" s="64">
        <v>24360</v>
      </c>
      <c r="C529" s="50" t="s">
        <v>43</v>
      </c>
      <c r="D529" s="50" t="s">
        <v>1359</v>
      </c>
      <c r="E529" s="80" t="s">
        <v>1558</v>
      </c>
      <c r="F529" s="50" t="s">
        <v>94</v>
      </c>
      <c r="G529" s="50" t="s">
        <v>1640</v>
      </c>
      <c r="H529" s="88"/>
      <c r="I529" s="88">
        <v>39600</v>
      </c>
      <c r="J529" s="89"/>
      <c r="K529" s="89"/>
      <c r="L529" s="89">
        <f t="shared" si="16"/>
        <v>39600</v>
      </c>
      <c r="M529" s="87">
        <f t="shared" si="17"/>
        <v>39600</v>
      </c>
      <c r="N529" s="89"/>
      <c r="O529" s="89"/>
      <c r="P529" s="48">
        <v>41122</v>
      </c>
      <c r="Q529" s="48">
        <v>41699</v>
      </c>
      <c r="R529" s="49">
        <v>10927</v>
      </c>
    </row>
    <row r="530" spans="1:18" s="1" customFormat="1" ht="25.5" x14ac:dyDescent="0.2">
      <c r="A530" s="45" t="s">
        <v>1641</v>
      </c>
      <c r="B530" s="64">
        <v>16109</v>
      </c>
      <c r="C530" s="50" t="s">
        <v>43</v>
      </c>
      <c r="D530" s="50" t="s">
        <v>228</v>
      </c>
      <c r="E530" s="80" t="s">
        <v>1558</v>
      </c>
      <c r="F530" s="50" t="s">
        <v>94</v>
      </c>
      <c r="G530" s="50" t="s">
        <v>1642</v>
      </c>
      <c r="H530" s="88"/>
      <c r="I530" s="88">
        <v>8400</v>
      </c>
      <c r="J530" s="89"/>
      <c r="K530" s="89"/>
      <c r="L530" s="89">
        <f t="shared" si="16"/>
        <v>8400</v>
      </c>
      <c r="M530" s="87">
        <f t="shared" si="17"/>
        <v>8400</v>
      </c>
      <c r="N530" s="89"/>
      <c r="O530" s="89"/>
      <c r="P530" s="48">
        <v>41214</v>
      </c>
      <c r="Q530" s="48">
        <v>42034</v>
      </c>
      <c r="R530" s="49">
        <v>11838</v>
      </c>
    </row>
    <row r="531" spans="1:18" s="1" customFormat="1" ht="38.25" x14ac:dyDescent="0.2">
      <c r="A531" s="45" t="s">
        <v>1643</v>
      </c>
      <c r="B531" s="64">
        <v>23616</v>
      </c>
      <c r="C531" s="50" t="s">
        <v>43</v>
      </c>
      <c r="D531" s="50" t="s">
        <v>1381</v>
      </c>
      <c r="E531" s="80" t="s">
        <v>1558</v>
      </c>
      <c r="F531" s="50" t="s">
        <v>167</v>
      </c>
      <c r="G531" s="50" t="s">
        <v>1644</v>
      </c>
      <c r="H531" s="88"/>
      <c r="I531" s="88">
        <v>8400</v>
      </c>
      <c r="J531" s="89"/>
      <c r="K531" s="89"/>
      <c r="L531" s="89">
        <f t="shared" si="16"/>
        <v>8400</v>
      </c>
      <c r="M531" s="87">
        <f t="shared" si="17"/>
        <v>8400</v>
      </c>
      <c r="N531" s="89"/>
      <c r="O531" s="89"/>
      <c r="P531" s="48">
        <v>41122</v>
      </c>
      <c r="Q531" s="48">
        <v>42093</v>
      </c>
      <c r="R531" s="49">
        <v>11000</v>
      </c>
    </row>
    <row r="532" spans="1:18" s="1" customFormat="1" ht="38.25" x14ac:dyDescent="0.2">
      <c r="A532" s="45" t="s">
        <v>1645</v>
      </c>
      <c r="B532" s="64">
        <v>24138</v>
      </c>
      <c r="C532" s="50" t="s">
        <v>35</v>
      </c>
      <c r="D532" s="50" t="s">
        <v>937</v>
      </c>
      <c r="E532" s="80" t="s">
        <v>1558</v>
      </c>
      <c r="F532" s="50" t="s">
        <v>63</v>
      </c>
      <c r="G532" s="50" t="s">
        <v>1646</v>
      </c>
      <c r="H532" s="88"/>
      <c r="I532" s="88">
        <v>52800</v>
      </c>
      <c r="J532" s="89"/>
      <c r="K532" s="89"/>
      <c r="L532" s="89">
        <f t="shared" si="16"/>
        <v>52800</v>
      </c>
      <c r="M532" s="87">
        <f t="shared" si="17"/>
        <v>52800</v>
      </c>
      <c r="N532" s="89"/>
      <c r="O532" s="89"/>
      <c r="P532" s="48">
        <v>41085</v>
      </c>
      <c r="Q532" s="48">
        <v>42210</v>
      </c>
      <c r="R532" s="61">
        <v>10060</v>
      </c>
    </row>
    <row r="533" spans="1:18" s="1" customFormat="1" ht="38.25" x14ac:dyDescent="0.2">
      <c r="A533" s="45" t="s">
        <v>1647</v>
      </c>
      <c r="B533" s="64">
        <v>24268</v>
      </c>
      <c r="C533" s="50" t="s">
        <v>35</v>
      </c>
      <c r="D533" s="50" t="s">
        <v>1648</v>
      </c>
      <c r="E533" s="80" t="s">
        <v>1558</v>
      </c>
      <c r="F533" s="50" t="s">
        <v>167</v>
      </c>
      <c r="G533" s="50" t="s">
        <v>1649</v>
      </c>
      <c r="H533" s="88"/>
      <c r="I533" s="88">
        <v>26400</v>
      </c>
      <c r="J533" s="89"/>
      <c r="K533" s="89"/>
      <c r="L533" s="89">
        <f t="shared" si="16"/>
        <v>26400</v>
      </c>
      <c r="M533" s="87">
        <f t="shared" si="17"/>
        <v>26400</v>
      </c>
      <c r="N533" s="89"/>
      <c r="O533" s="89"/>
      <c r="P533" s="48">
        <v>41085</v>
      </c>
      <c r="Q533" s="48">
        <v>41845</v>
      </c>
      <c r="R533" s="61">
        <v>10054</v>
      </c>
    </row>
    <row r="534" spans="1:18" s="1" customFormat="1" ht="51" x14ac:dyDescent="0.2">
      <c r="A534" s="45" t="s">
        <v>1650</v>
      </c>
      <c r="B534" s="64">
        <v>24323</v>
      </c>
      <c r="C534" s="50" t="s">
        <v>35</v>
      </c>
      <c r="D534" s="50" t="s">
        <v>1651</v>
      </c>
      <c r="E534" s="80" t="s">
        <v>1558</v>
      </c>
      <c r="F534" s="50" t="s">
        <v>94</v>
      </c>
      <c r="G534" s="50" t="s">
        <v>1652</v>
      </c>
      <c r="H534" s="88"/>
      <c r="I534" s="88">
        <v>26400</v>
      </c>
      <c r="J534" s="89"/>
      <c r="K534" s="89"/>
      <c r="L534" s="89">
        <f t="shared" si="16"/>
        <v>26400</v>
      </c>
      <c r="M534" s="87">
        <f t="shared" si="17"/>
        <v>26400</v>
      </c>
      <c r="N534" s="89"/>
      <c r="O534" s="89"/>
      <c r="P534" s="48">
        <v>41085</v>
      </c>
      <c r="Q534" s="48">
        <v>41845</v>
      </c>
      <c r="R534" s="61">
        <v>10063</v>
      </c>
    </row>
    <row r="535" spans="1:18" s="1" customFormat="1" ht="25.5" x14ac:dyDescent="0.2">
      <c r="A535" s="45" t="s">
        <v>1653</v>
      </c>
      <c r="B535" s="64">
        <v>24225</v>
      </c>
      <c r="C535" s="50" t="s">
        <v>35</v>
      </c>
      <c r="D535" s="50" t="s">
        <v>379</v>
      </c>
      <c r="E535" s="80" t="s">
        <v>1558</v>
      </c>
      <c r="F535" s="50" t="s">
        <v>87</v>
      </c>
      <c r="G535" s="50" t="s">
        <v>1654</v>
      </c>
      <c r="H535" s="88"/>
      <c r="I535" s="88">
        <v>52800</v>
      </c>
      <c r="J535" s="89"/>
      <c r="K535" s="89"/>
      <c r="L535" s="89">
        <f t="shared" si="16"/>
        <v>52800</v>
      </c>
      <c r="M535" s="87">
        <f t="shared" si="17"/>
        <v>52800</v>
      </c>
      <c r="N535" s="89"/>
      <c r="O535" s="89"/>
      <c r="P535" s="48">
        <v>41085</v>
      </c>
      <c r="Q535" s="48">
        <v>41845</v>
      </c>
      <c r="R535" s="61">
        <v>10076</v>
      </c>
    </row>
    <row r="536" spans="1:18" s="1" customFormat="1" ht="25.5" x14ac:dyDescent="0.2">
      <c r="A536" s="45" t="s">
        <v>1655</v>
      </c>
      <c r="B536" s="64">
        <v>6688</v>
      </c>
      <c r="C536" s="50" t="s">
        <v>35</v>
      </c>
      <c r="D536" s="50" t="s">
        <v>133</v>
      </c>
      <c r="E536" s="80" t="s">
        <v>1558</v>
      </c>
      <c r="F536" s="50" t="s">
        <v>94</v>
      </c>
      <c r="G536" s="50" t="s">
        <v>1656</v>
      </c>
      <c r="H536" s="88"/>
      <c r="I536" s="88">
        <v>52800</v>
      </c>
      <c r="J536" s="89"/>
      <c r="K536" s="89"/>
      <c r="L536" s="89">
        <f t="shared" si="16"/>
        <v>52800</v>
      </c>
      <c r="M536" s="87">
        <f t="shared" si="17"/>
        <v>52800</v>
      </c>
      <c r="N536" s="89"/>
      <c r="O536" s="89"/>
      <c r="P536" s="48">
        <v>41085</v>
      </c>
      <c r="Q536" s="48">
        <v>41845</v>
      </c>
      <c r="R536" s="61">
        <v>10079</v>
      </c>
    </row>
    <row r="537" spans="1:18" s="1" customFormat="1" ht="76.5" x14ac:dyDescent="0.2">
      <c r="A537" s="45" t="s">
        <v>1657</v>
      </c>
      <c r="B537" s="64">
        <v>23881</v>
      </c>
      <c r="C537" s="50" t="s">
        <v>35</v>
      </c>
      <c r="D537" s="50" t="s">
        <v>1658</v>
      </c>
      <c r="E537" s="80" t="s">
        <v>1558</v>
      </c>
      <c r="F537" s="50" t="s">
        <v>94</v>
      </c>
      <c r="G537" s="50" t="s">
        <v>1659</v>
      </c>
      <c r="H537" s="88"/>
      <c r="I537" s="88">
        <v>52800</v>
      </c>
      <c r="J537" s="89"/>
      <c r="K537" s="89"/>
      <c r="L537" s="89">
        <f t="shared" si="16"/>
        <v>52800</v>
      </c>
      <c r="M537" s="87">
        <f t="shared" si="17"/>
        <v>52800</v>
      </c>
      <c r="N537" s="89"/>
      <c r="O537" s="89"/>
      <c r="P537" s="48">
        <v>41085</v>
      </c>
      <c r="Q537" s="48">
        <v>41845</v>
      </c>
      <c r="R537" s="61">
        <v>10071</v>
      </c>
    </row>
    <row r="538" spans="1:18" s="1" customFormat="1" ht="25.5" x14ac:dyDescent="0.2">
      <c r="A538" s="45" t="s">
        <v>1660</v>
      </c>
      <c r="B538" s="64">
        <v>24318</v>
      </c>
      <c r="C538" s="50" t="s">
        <v>35</v>
      </c>
      <c r="D538" s="50" t="s">
        <v>461</v>
      </c>
      <c r="E538" s="80" t="s">
        <v>1558</v>
      </c>
      <c r="F538" s="50" t="s">
        <v>87</v>
      </c>
      <c r="G538" s="50" t="s">
        <v>1661</v>
      </c>
      <c r="H538" s="88"/>
      <c r="I538" s="88">
        <v>52800</v>
      </c>
      <c r="J538" s="89"/>
      <c r="K538" s="89"/>
      <c r="L538" s="89">
        <f t="shared" si="16"/>
        <v>52800</v>
      </c>
      <c r="M538" s="87">
        <f t="shared" si="17"/>
        <v>52800</v>
      </c>
      <c r="N538" s="89"/>
      <c r="O538" s="89"/>
      <c r="P538" s="48">
        <v>41085</v>
      </c>
      <c r="Q538" s="48">
        <v>41845</v>
      </c>
      <c r="R538" s="61">
        <v>10067</v>
      </c>
    </row>
    <row r="539" spans="1:18" s="1" customFormat="1" ht="51" x14ac:dyDescent="0.2">
      <c r="A539" s="45" t="s">
        <v>1662</v>
      </c>
      <c r="B539" s="64">
        <v>24319</v>
      </c>
      <c r="C539" s="50" t="s">
        <v>35</v>
      </c>
      <c r="D539" s="50" t="s">
        <v>216</v>
      </c>
      <c r="E539" s="80" t="s">
        <v>1558</v>
      </c>
      <c r="F539" s="50" t="s">
        <v>167</v>
      </c>
      <c r="G539" s="50" t="s">
        <v>1663</v>
      </c>
      <c r="H539" s="88"/>
      <c r="I539" s="88">
        <v>52800</v>
      </c>
      <c r="J539" s="89"/>
      <c r="K539" s="89"/>
      <c r="L539" s="89">
        <f t="shared" si="16"/>
        <v>52800</v>
      </c>
      <c r="M539" s="87">
        <f t="shared" si="17"/>
        <v>52800</v>
      </c>
      <c r="N539" s="89"/>
      <c r="O539" s="89"/>
      <c r="P539" s="48">
        <v>41085</v>
      </c>
      <c r="Q539" s="48">
        <v>41845</v>
      </c>
      <c r="R539" s="61">
        <v>10057</v>
      </c>
    </row>
    <row r="540" spans="1:18" s="1" customFormat="1" ht="76.5" x14ac:dyDescent="0.2">
      <c r="A540" s="45" t="s">
        <v>1664</v>
      </c>
      <c r="B540" s="64">
        <v>24271</v>
      </c>
      <c r="C540" s="50" t="s">
        <v>19</v>
      </c>
      <c r="D540" s="50" t="s">
        <v>1481</v>
      </c>
      <c r="E540" s="80" t="s">
        <v>1558</v>
      </c>
      <c r="F540" s="50" t="s">
        <v>63</v>
      </c>
      <c r="G540" s="50" t="s">
        <v>1665</v>
      </c>
      <c r="H540" s="88"/>
      <c r="I540" s="88">
        <v>26400</v>
      </c>
      <c r="J540" s="89"/>
      <c r="K540" s="89"/>
      <c r="L540" s="89">
        <f t="shared" si="16"/>
        <v>26400</v>
      </c>
      <c r="M540" s="87">
        <f t="shared" si="17"/>
        <v>26400</v>
      </c>
      <c r="N540" s="89"/>
      <c r="O540" s="89"/>
      <c r="P540" s="48">
        <v>41092</v>
      </c>
      <c r="Q540" s="48">
        <v>41488</v>
      </c>
      <c r="R540" s="49">
        <v>10743</v>
      </c>
    </row>
    <row r="541" spans="1:18" s="1" customFormat="1" ht="38.25" x14ac:dyDescent="0.2">
      <c r="A541" s="45" t="s">
        <v>1666</v>
      </c>
      <c r="B541" s="64">
        <v>24260</v>
      </c>
      <c r="C541" s="50" t="s">
        <v>19</v>
      </c>
      <c r="D541" s="50" t="s">
        <v>1667</v>
      </c>
      <c r="E541" s="80" t="s">
        <v>1558</v>
      </c>
      <c r="F541" s="81" t="s">
        <v>87</v>
      </c>
      <c r="G541" s="50" t="s">
        <v>1668</v>
      </c>
      <c r="H541" s="88"/>
      <c r="I541" s="88">
        <v>26400</v>
      </c>
      <c r="J541" s="89"/>
      <c r="K541" s="89"/>
      <c r="L541" s="89">
        <f t="shared" si="16"/>
        <v>26400</v>
      </c>
      <c r="M541" s="87">
        <f t="shared" si="17"/>
        <v>26400</v>
      </c>
      <c r="N541" s="89"/>
      <c r="O541" s="89"/>
      <c r="P541" s="48">
        <v>41092</v>
      </c>
      <c r="Q541" s="48">
        <v>41488</v>
      </c>
      <c r="R541" s="49">
        <v>10741</v>
      </c>
    </row>
    <row r="542" spans="1:18" s="1" customFormat="1" ht="51" x14ac:dyDescent="0.2">
      <c r="A542" s="45" t="s">
        <v>1669</v>
      </c>
      <c r="B542" s="64">
        <v>24189</v>
      </c>
      <c r="C542" s="50" t="s">
        <v>19</v>
      </c>
      <c r="D542" s="50" t="s">
        <v>1670</v>
      </c>
      <c r="E542" s="80" t="s">
        <v>1558</v>
      </c>
      <c r="F542" s="81" t="s">
        <v>167</v>
      </c>
      <c r="G542" s="50" t="s">
        <v>1671</v>
      </c>
      <c r="H542" s="88"/>
      <c r="I542" s="88">
        <v>26400</v>
      </c>
      <c r="J542" s="89"/>
      <c r="K542" s="89"/>
      <c r="L542" s="89">
        <f t="shared" si="16"/>
        <v>26400</v>
      </c>
      <c r="M542" s="87">
        <f t="shared" si="17"/>
        <v>26400</v>
      </c>
      <c r="N542" s="89"/>
      <c r="O542" s="89"/>
      <c r="P542" s="48">
        <v>41092</v>
      </c>
      <c r="Q542" s="48">
        <v>41488</v>
      </c>
      <c r="R542" s="49">
        <v>10745</v>
      </c>
    </row>
    <row r="543" spans="1:18" s="1" customFormat="1" ht="38.25" x14ac:dyDescent="0.2">
      <c r="A543" s="45" t="s">
        <v>1672</v>
      </c>
      <c r="B543" s="64">
        <v>24275</v>
      </c>
      <c r="C543" s="50" t="s">
        <v>19</v>
      </c>
      <c r="D543" s="50" t="s">
        <v>1673</v>
      </c>
      <c r="E543" s="80" t="s">
        <v>1558</v>
      </c>
      <c r="F543" s="81" t="s">
        <v>87</v>
      </c>
      <c r="G543" s="50" t="s">
        <v>1674</v>
      </c>
      <c r="H543" s="88"/>
      <c r="I543" s="88">
        <v>9600</v>
      </c>
      <c r="J543" s="89"/>
      <c r="K543" s="89"/>
      <c r="L543" s="89">
        <f t="shared" si="16"/>
        <v>9600</v>
      </c>
      <c r="M543" s="87">
        <f t="shared" si="17"/>
        <v>9600</v>
      </c>
      <c r="N543" s="89"/>
      <c r="O543" s="89"/>
      <c r="P543" s="48">
        <v>41092</v>
      </c>
      <c r="Q543" s="48">
        <v>41488</v>
      </c>
      <c r="R543" s="49">
        <v>10859</v>
      </c>
    </row>
    <row r="544" spans="1:18" s="1" customFormat="1" ht="25.5" x14ac:dyDescent="0.2">
      <c r="A544" s="45" t="s">
        <v>1675</v>
      </c>
      <c r="B544" s="64">
        <v>24348</v>
      </c>
      <c r="C544" s="50" t="s">
        <v>19</v>
      </c>
      <c r="D544" s="50" t="s">
        <v>1676</v>
      </c>
      <c r="E544" s="80" t="s">
        <v>1558</v>
      </c>
      <c r="F544" s="81" t="s">
        <v>167</v>
      </c>
      <c r="G544" s="50" t="s">
        <v>1677</v>
      </c>
      <c r="H544" s="88"/>
      <c r="I544" s="88">
        <v>26400</v>
      </c>
      <c r="J544" s="89"/>
      <c r="K544" s="89"/>
      <c r="L544" s="89">
        <f t="shared" si="16"/>
        <v>26400</v>
      </c>
      <c r="M544" s="87">
        <f t="shared" si="17"/>
        <v>26400</v>
      </c>
      <c r="N544" s="89"/>
      <c r="O544" s="89"/>
      <c r="P544" s="48">
        <v>41092</v>
      </c>
      <c r="Q544" s="48">
        <v>41488</v>
      </c>
      <c r="R544" s="49">
        <v>11105</v>
      </c>
    </row>
    <row r="545" spans="1:18" s="1" customFormat="1" ht="38.25" x14ac:dyDescent="0.2">
      <c r="A545" s="45" t="s">
        <v>1678</v>
      </c>
      <c r="B545" s="64">
        <v>24306</v>
      </c>
      <c r="C545" s="50" t="s">
        <v>19</v>
      </c>
      <c r="D545" s="50" t="s">
        <v>1679</v>
      </c>
      <c r="E545" s="80" t="s">
        <v>1558</v>
      </c>
      <c r="F545" s="50" t="s">
        <v>94</v>
      </c>
      <c r="G545" s="50" t="s">
        <v>1680</v>
      </c>
      <c r="H545" s="88"/>
      <c r="I545" s="88">
        <v>13200</v>
      </c>
      <c r="J545" s="89"/>
      <c r="K545" s="89"/>
      <c r="L545" s="89">
        <f t="shared" si="16"/>
        <v>13200</v>
      </c>
      <c r="M545" s="87">
        <f t="shared" si="17"/>
        <v>13200</v>
      </c>
      <c r="N545" s="89"/>
      <c r="O545" s="89"/>
      <c r="P545" s="48">
        <v>41092</v>
      </c>
      <c r="Q545" s="48">
        <v>41488</v>
      </c>
      <c r="R545" s="49">
        <v>10798</v>
      </c>
    </row>
    <row r="546" spans="1:18" s="1" customFormat="1" ht="38.25" x14ac:dyDescent="0.2">
      <c r="A546" s="45" t="s">
        <v>1681</v>
      </c>
      <c r="B546" s="64">
        <v>24250</v>
      </c>
      <c r="C546" s="50" t="s">
        <v>19</v>
      </c>
      <c r="D546" s="50" t="s">
        <v>819</v>
      </c>
      <c r="E546" s="80" t="s">
        <v>1558</v>
      </c>
      <c r="F546" s="50" t="s">
        <v>94</v>
      </c>
      <c r="G546" s="50" t="s">
        <v>1682</v>
      </c>
      <c r="H546" s="88"/>
      <c r="I546" s="88">
        <v>13200</v>
      </c>
      <c r="J546" s="89"/>
      <c r="K546" s="89"/>
      <c r="L546" s="89">
        <f t="shared" si="16"/>
        <v>13200</v>
      </c>
      <c r="M546" s="87">
        <f t="shared" si="17"/>
        <v>13200</v>
      </c>
      <c r="N546" s="89"/>
      <c r="O546" s="89"/>
      <c r="P546" s="48">
        <v>41092</v>
      </c>
      <c r="Q546" s="48">
        <v>41488</v>
      </c>
      <c r="R546" s="49">
        <v>11107</v>
      </c>
    </row>
    <row r="547" spans="1:18" ht="51" x14ac:dyDescent="0.2">
      <c r="A547" s="45" t="s">
        <v>1683</v>
      </c>
      <c r="B547" s="64">
        <v>24345</v>
      </c>
      <c r="C547" s="50" t="s">
        <v>19</v>
      </c>
      <c r="D547" s="50" t="s">
        <v>1684</v>
      </c>
      <c r="E547" s="80" t="s">
        <v>1558</v>
      </c>
      <c r="F547" s="81" t="s">
        <v>87</v>
      </c>
      <c r="G547" s="50" t="s">
        <v>1685</v>
      </c>
      <c r="H547" s="88"/>
      <c r="I547" s="88">
        <v>26400</v>
      </c>
      <c r="J547" s="89"/>
      <c r="K547" s="89"/>
      <c r="L547" s="89">
        <f t="shared" si="16"/>
        <v>26400</v>
      </c>
      <c r="M547" s="87">
        <f t="shared" si="17"/>
        <v>26400</v>
      </c>
      <c r="N547" s="89"/>
      <c r="O547" s="89"/>
      <c r="P547" s="48">
        <v>41092</v>
      </c>
      <c r="Q547" s="48">
        <v>41488</v>
      </c>
      <c r="R547" s="49">
        <v>10739</v>
      </c>
    </row>
    <row r="548" spans="1:18" ht="38.25" x14ac:dyDescent="0.2">
      <c r="A548" s="45" t="s">
        <v>1686</v>
      </c>
      <c r="B548" s="64">
        <v>24363</v>
      </c>
      <c r="C548" s="50" t="s">
        <v>19</v>
      </c>
      <c r="D548" s="50" t="s">
        <v>1687</v>
      </c>
      <c r="E548" s="80" t="s">
        <v>1558</v>
      </c>
      <c r="F548" s="50" t="s">
        <v>94</v>
      </c>
      <c r="G548" s="50" t="s">
        <v>1688</v>
      </c>
      <c r="H548" s="88"/>
      <c r="I548" s="88">
        <v>26400</v>
      </c>
      <c r="J548" s="89"/>
      <c r="K548" s="89"/>
      <c r="L548" s="89">
        <f t="shared" si="16"/>
        <v>26400</v>
      </c>
      <c r="M548" s="87">
        <f t="shared" si="17"/>
        <v>26400</v>
      </c>
      <c r="N548" s="89"/>
      <c r="O548" s="89"/>
      <c r="P548" s="48">
        <v>41092</v>
      </c>
      <c r="Q548" s="48">
        <v>41488</v>
      </c>
      <c r="R548" s="49">
        <v>10654</v>
      </c>
    </row>
    <row r="549" spans="1:18" ht="38.25" x14ac:dyDescent="0.2">
      <c r="A549" s="45" t="s">
        <v>1689</v>
      </c>
      <c r="B549" s="64">
        <v>24202</v>
      </c>
      <c r="C549" s="50" t="s">
        <v>19</v>
      </c>
      <c r="D549" s="50" t="s">
        <v>851</v>
      </c>
      <c r="E549" s="80" t="s">
        <v>1558</v>
      </c>
      <c r="F549" s="50" t="s">
        <v>193</v>
      </c>
      <c r="G549" s="50" t="s">
        <v>1690</v>
      </c>
      <c r="H549" s="88"/>
      <c r="I549" s="88">
        <v>4800</v>
      </c>
      <c r="J549" s="89"/>
      <c r="K549" s="89"/>
      <c r="L549" s="89">
        <f t="shared" si="16"/>
        <v>4800</v>
      </c>
      <c r="M549" s="87">
        <f t="shared" si="17"/>
        <v>4800</v>
      </c>
      <c r="N549" s="89"/>
      <c r="O549" s="89"/>
      <c r="P549" s="48">
        <v>41092</v>
      </c>
      <c r="Q549" s="48">
        <v>41488</v>
      </c>
      <c r="R549" s="49">
        <v>10799</v>
      </c>
    </row>
    <row r="550" spans="1:18" ht="51" x14ac:dyDescent="0.2">
      <c r="A550" s="45" t="s">
        <v>1691</v>
      </c>
      <c r="B550" s="64">
        <v>23735</v>
      </c>
      <c r="C550" s="50" t="s">
        <v>19</v>
      </c>
      <c r="D550" s="50" t="s">
        <v>1692</v>
      </c>
      <c r="E550" s="80" t="s">
        <v>1558</v>
      </c>
      <c r="F550" s="50" t="s">
        <v>109</v>
      </c>
      <c r="G550" s="50" t="s">
        <v>1693</v>
      </c>
      <c r="H550" s="88"/>
      <c r="I550" s="88">
        <v>13200</v>
      </c>
      <c r="J550" s="89"/>
      <c r="K550" s="89"/>
      <c r="L550" s="89">
        <f t="shared" si="16"/>
        <v>13200</v>
      </c>
      <c r="M550" s="87">
        <f t="shared" si="17"/>
        <v>13200</v>
      </c>
      <c r="N550" s="89"/>
      <c r="O550" s="89"/>
      <c r="P550" s="48">
        <v>41092</v>
      </c>
      <c r="Q550" s="48">
        <v>41488</v>
      </c>
      <c r="R550" s="49">
        <v>10744</v>
      </c>
    </row>
    <row r="551" spans="1:18" ht="38.25" x14ac:dyDescent="0.2">
      <c r="A551" s="45" t="s">
        <v>1694</v>
      </c>
      <c r="B551" s="64">
        <v>24235</v>
      </c>
      <c r="C551" s="50" t="s">
        <v>19</v>
      </c>
      <c r="D551" s="50" t="s">
        <v>1695</v>
      </c>
      <c r="E551" s="80" t="s">
        <v>1558</v>
      </c>
      <c r="F551" s="50" t="s">
        <v>87</v>
      </c>
      <c r="G551" s="50" t="s">
        <v>1696</v>
      </c>
      <c r="H551" s="88"/>
      <c r="I551" s="88">
        <v>26400</v>
      </c>
      <c r="J551" s="89"/>
      <c r="K551" s="89"/>
      <c r="L551" s="89">
        <f t="shared" si="16"/>
        <v>26400</v>
      </c>
      <c r="M551" s="87">
        <f t="shared" si="17"/>
        <v>26400</v>
      </c>
      <c r="N551" s="89"/>
      <c r="O551" s="89"/>
      <c r="P551" s="48">
        <v>41092</v>
      </c>
      <c r="Q551" s="48">
        <v>41488</v>
      </c>
      <c r="R551" s="49">
        <v>10984</v>
      </c>
    </row>
    <row r="552" spans="1:18" ht="38.25" x14ac:dyDescent="0.2">
      <c r="A552" s="45" t="s">
        <v>1697</v>
      </c>
      <c r="B552" s="64">
        <v>24087</v>
      </c>
      <c r="C552" s="50" t="s">
        <v>19</v>
      </c>
      <c r="D552" s="50" t="s">
        <v>870</v>
      </c>
      <c r="E552" s="80" t="s">
        <v>1558</v>
      </c>
      <c r="F552" s="50" t="s">
        <v>94</v>
      </c>
      <c r="G552" s="50" t="s">
        <v>1698</v>
      </c>
      <c r="H552" s="88"/>
      <c r="I552" s="88">
        <v>13200</v>
      </c>
      <c r="J552" s="89"/>
      <c r="K552" s="89"/>
      <c r="L552" s="89">
        <f t="shared" si="16"/>
        <v>13200</v>
      </c>
      <c r="M552" s="87">
        <f t="shared" si="17"/>
        <v>13200</v>
      </c>
      <c r="N552" s="89"/>
      <c r="O552" s="89"/>
      <c r="P552" s="48">
        <v>41092</v>
      </c>
      <c r="Q552" s="48">
        <v>41488</v>
      </c>
      <c r="R552" s="49">
        <v>10985</v>
      </c>
    </row>
    <row r="553" spans="1:18" ht="38.25" x14ac:dyDescent="0.2">
      <c r="A553" s="45" t="s">
        <v>1699</v>
      </c>
      <c r="B553" s="64">
        <v>24230</v>
      </c>
      <c r="C553" s="50" t="s">
        <v>19</v>
      </c>
      <c r="D553" s="50" t="s">
        <v>316</v>
      </c>
      <c r="E553" s="80" t="s">
        <v>1558</v>
      </c>
      <c r="F553" s="50" t="s">
        <v>71</v>
      </c>
      <c r="G553" s="50" t="s">
        <v>1700</v>
      </c>
      <c r="H553" s="88"/>
      <c r="I553" s="88">
        <v>13200</v>
      </c>
      <c r="J553" s="89"/>
      <c r="K553" s="89"/>
      <c r="L553" s="89">
        <f t="shared" si="16"/>
        <v>13200</v>
      </c>
      <c r="M553" s="87">
        <f t="shared" si="17"/>
        <v>13200</v>
      </c>
      <c r="N553" s="89"/>
      <c r="O553" s="89"/>
      <c r="P553" s="48">
        <v>41092</v>
      </c>
      <c r="Q553" s="48">
        <v>41488</v>
      </c>
      <c r="R553" s="49">
        <v>11109</v>
      </c>
    </row>
    <row r="554" spans="1:18" ht="38.25" x14ac:dyDescent="0.2">
      <c r="A554" s="45" t="s">
        <v>1701</v>
      </c>
      <c r="B554" s="64">
        <v>24209</v>
      </c>
      <c r="C554" s="50" t="s">
        <v>19</v>
      </c>
      <c r="D554" s="50" t="s">
        <v>1702</v>
      </c>
      <c r="E554" s="80" t="s">
        <v>1558</v>
      </c>
      <c r="F554" s="50" t="s">
        <v>87</v>
      </c>
      <c r="G554" s="50" t="s">
        <v>1703</v>
      </c>
      <c r="H554" s="88"/>
      <c r="I554" s="88">
        <v>13200</v>
      </c>
      <c r="J554" s="89"/>
      <c r="K554" s="89"/>
      <c r="L554" s="89">
        <f t="shared" si="16"/>
        <v>13200</v>
      </c>
      <c r="M554" s="87">
        <f t="shared" si="17"/>
        <v>13200</v>
      </c>
      <c r="N554" s="89"/>
      <c r="O554" s="89"/>
      <c r="P554" s="48">
        <v>41092</v>
      </c>
      <c r="Q554" s="48">
        <v>41488</v>
      </c>
      <c r="R554" s="49">
        <v>10863</v>
      </c>
    </row>
    <row r="555" spans="1:18" ht="63.75" x14ac:dyDescent="0.2">
      <c r="A555" s="45" t="s">
        <v>1704</v>
      </c>
      <c r="B555" s="64">
        <v>20413</v>
      </c>
      <c r="C555" s="50" t="s">
        <v>19</v>
      </c>
      <c r="D555" s="50" t="s">
        <v>281</v>
      </c>
      <c r="E555" s="80" t="s">
        <v>1558</v>
      </c>
      <c r="F555" s="50" t="s">
        <v>87</v>
      </c>
      <c r="G555" s="50" t="s">
        <v>1705</v>
      </c>
      <c r="H555" s="88"/>
      <c r="I555" s="88">
        <v>13200</v>
      </c>
      <c r="J555" s="89"/>
      <c r="K555" s="89"/>
      <c r="L555" s="89">
        <f t="shared" si="16"/>
        <v>13200</v>
      </c>
      <c r="M555" s="87">
        <f t="shared" si="17"/>
        <v>13200</v>
      </c>
      <c r="N555" s="89"/>
      <c r="O555" s="89"/>
      <c r="P555" s="48">
        <v>41092</v>
      </c>
      <c r="Q555" s="48">
        <v>41488</v>
      </c>
      <c r="R555" s="49">
        <v>10986</v>
      </c>
    </row>
    <row r="556" spans="1:18" ht="51" x14ac:dyDescent="0.2">
      <c r="A556" s="45" t="s">
        <v>1706</v>
      </c>
      <c r="B556" s="64">
        <v>22596</v>
      </c>
      <c r="C556" s="50" t="s">
        <v>19</v>
      </c>
      <c r="D556" s="50" t="s">
        <v>1707</v>
      </c>
      <c r="E556" s="80" t="s">
        <v>1558</v>
      </c>
      <c r="F556" s="50" t="s">
        <v>63</v>
      </c>
      <c r="G556" s="50" t="s">
        <v>1708</v>
      </c>
      <c r="H556" s="88"/>
      <c r="I556" s="88">
        <v>13200</v>
      </c>
      <c r="J556" s="89"/>
      <c r="K556" s="89"/>
      <c r="L556" s="89">
        <f t="shared" si="16"/>
        <v>13200</v>
      </c>
      <c r="M556" s="87">
        <f t="shared" si="17"/>
        <v>13200</v>
      </c>
      <c r="N556" s="89"/>
      <c r="O556" s="89"/>
      <c r="P556" s="48">
        <v>41092</v>
      </c>
      <c r="Q556" s="48">
        <v>41488</v>
      </c>
      <c r="R556" s="49">
        <v>10958</v>
      </c>
    </row>
    <row r="557" spans="1:18" ht="38.25" x14ac:dyDescent="0.2">
      <c r="A557" s="45" t="s">
        <v>1709</v>
      </c>
      <c r="B557" s="64">
        <v>24195</v>
      </c>
      <c r="C557" s="50" t="s">
        <v>19</v>
      </c>
      <c r="D557" s="50" t="s">
        <v>1710</v>
      </c>
      <c r="E557" s="80" t="s">
        <v>1558</v>
      </c>
      <c r="F557" s="50" t="s">
        <v>94</v>
      </c>
      <c r="G557" s="50" t="s">
        <v>1711</v>
      </c>
      <c r="H557" s="88"/>
      <c r="I557" s="88">
        <v>26400</v>
      </c>
      <c r="J557" s="89"/>
      <c r="K557" s="89"/>
      <c r="L557" s="89">
        <f t="shared" si="16"/>
        <v>26400</v>
      </c>
      <c r="M557" s="87">
        <f t="shared" si="17"/>
        <v>26400</v>
      </c>
      <c r="N557" s="89"/>
      <c r="O557" s="89"/>
      <c r="P557" s="48">
        <v>41092</v>
      </c>
      <c r="Q557" s="48">
        <v>41488</v>
      </c>
      <c r="R557" s="49">
        <v>10979</v>
      </c>
    </row>
    <row r="558" spans="1:18" ht="38.25" x14ac:dyDescent="0.2">
      <c r="A558" s="45" t="s">
        <v>1712</v>
      </c>
      <c r="B558" s="45">
        <v>23597</v>
      </c>
      <c r="C558" s="50" t="s">
        <v>1713</v>
      </c>
      <c r="D558" s="50" t="s">
        <v>1714</v>
      </c>
      <c r="E558" s="80" t="s">
        <v>585</v>
      </c>
      <c r="F558" s="50" t="s">
        <v>121</v>
      </c>
      <c r="G558" s="60" t="s">
        <v>1715</v>
      </c>
      <c r="H558" s="88">
        <f>2000+3500</f>
        <v>5500</v>
      </c>
      <c r="I558" s="88"/>
      <c r="J558" s="89"/>
      <c r="K558" s="89">
        <v>13360</v>
      </c>
      <c r="L558" s="89">
        <f t="shared" si="16"/>
        <v>18860</v>
      </c>
      <c r="M558" s="87">
        <f t="shared" si="17"/>
        <v>18860</v>
      </c>
      <c r="N558" s="89"/>
      <c r="O558" s="89"/>
      <c r="P558" s="48">
        <v>41191</v>
      </c>
      <c r="Q558" s="48">
        <v>41921</v>
      </c>
      <c r="R558" s="49">
        <v>11492</v>
      </c>
    </row>
    <row r="559" spans="1:18" ht="38.25" x14ac:dyDescent="0.2">
      <c r="A559" s="45" t="s">
        <v>1716</v>
      </c>
      <c r="B559" s="45">
        <v>22697</v>
      </c>
      <c r="C559" s="50" t="s">
        <v>511</v>
      </c>
      <c r="D559" s="50" t="s">
        <v>1717</v>
      </c>
      <c r="E559" s="80" t="s">
        <v>585</v>
      </c>
      <c r="F559" s="50" t="s">
        <v>71</v>
      </c>
      <c r="G559" s="60" t="s">
        <v>1718</v>
      </c>
      <c r="H559" s="88">
        <f>1200+720+1000+1990</f>
        <v>4910</v>
      </c>
      <c r="I559" s="88"/>
      <c r="J559" s="89"/>
      <c r="K559" s="89">
        <v>10000</v>
      </c>
      <c r="L559" s="89">
        <f t="shared" si="16"/>
        <v>14910</v>
      </c>
      <c r="M559" s="87">
        <f t="shared" si="17"/>
        <v>14910</v>
      </c>
      <c r="N559" s="89"/>
      <c r="O559" s="89"/>
      <c r="P559" s="48">
        <v>41197</v>
      </c>
      <c r="Q559" s="48">
        <v>42384</v>
      </c>
      <c r="R559" s="49">
        <v>12300</v>
      </c>
    </row>
    <row r="560" spans="1:18" ht="38.25" x14ac:dyDescent="0.2">
      <c r="A560" s="45" t="s">
        <v>1719</v>
      </c>
      <c r="B560" s="45">
        <v>17712</v>
      </c>
      <c r="C560" s="50" t="s">
        <v>19</v>
      </c>
      <c r="D560" s="50" t="s">
        <v>1720</v>
      </c>
      <c r="E560" s="80" t="s">
        <v>21</v>
      </c>
      <c r="F560" s="50" t="s">
        <v>22</v>
      </c>
      <c r="G560" s="50" t="s">
        <v>1721</v>
      </c>
      <c r="H560" s="88">
        <v>600</v>
      </c>
      <c r="I560" s="88"/>
      <c r="J560" s="89"/>
      <c r="K560" s="89"/>
      <c r="L560" s="89">
        <f t="shared" si="16"/>
        <v>600</v>
      </c>
      <c r="M560" s="87">
        <f t="shared" si="17"/>
        <v>600</v>
      </c>
      <c r="N560" s="89"/>
      <c r="O560" s="89"/>
      <c r="P560" s="48">
        <v>41061</v>
      </c>
      <c r="Q560" s="48">
        <v>41183</v>
      </c>
      <c r="R560" s="49">
        <v>10626</v>
      </c>
    </row>
    <row r="561" spans="1:38" ht="38.25" x14ac:dyDescent="0.2">
      <c r="A561" s="45" t="s">
        <v>1722</v>
      </c>
      <c r="B561" s="45">
        <v>23594</v>
      </c>
      <c r="C561" s="50" t="s">
        <v>19</v>
      </c>
      <c r="D561" s="50" t="s">
        <v>1723</v>
      </c>
      <c r="E561" s="80" t="s">
        <v>1512</v>
      </c>
      <c r="F561" s="50" t="s">
        <v>98</v>
      </c>
      <c r="G561" s="50" t="s">
        <v>1724</v>
      </c>
      <c r="H561" s="88">
        <v>1140</v>
      </c>
      <c r="I561" s="88"/>
      <c r="J561" s="89"/>
      <c r="K561" s="89"/>
      <c r="L561" s="89">
        <f t="shared" si="16"/>
        <v>1140</v>
      </c>
      <c r="M561" s="87">
        <f t="shared" si="17"/>
        <v>1140</v>
      </c>
      <c r="N561" s="89"/>
      <c r="O561" s="89"/>
      <c r="P561" s="48">
        <v>41092</v>
      </c>
      <c r="Q561" s="48">
        <v>41215</v>
      </c>
      <c r="R561" s="49">
        <v>10848</v>
      </c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</row>
    <row r="562" spans="1:38" ht="25.5" x14ac:dyDescent="0.2">
      <c r="A562" s="45" t="s">
        <v>1725</v>
      </c>
      <c r="B562" s="45">
        <v>32676</v>
      </c>
      <c r="C562" s="50" t="s">
        <v>1726</v>
      </c>
      <c r="D562" s="50" t="s">
        <v>1506</v>
      </c>
      <c r="E562" s="80" t="s">
        <v>308</v>
      </c>
      <c r="F562" s="50" t="s">
        <v>167</v>
      </c>
      <c r="G562" s="50" t="s">
        <v>1727</v>
      </c>
      <c r="H562" s="88">
        <v>18000</v>
      </c>
      <c r="I562" s="88"/>
      <c r="J562" s="89"/>
      <c r="K562" s="89"/>
      <c r="L562" s="89">
        <f t="shared" si="16"/>
        <v>18000</v>
      </c>
      <c r="M562" s="87">
        <f t="shared" si="17"/>
        <v>18000</v>
      </c>
      <c r="N562" s="89"/>
      <c r="O562" s="89"/>
      <c r="P562" s="48">
        <v>41099</v>
      </c>
      <c r="Q562" s="48">
        <v>41283</v>
      </c>
      <c r="R562" s="49">
        <v>10561</v>
      </c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</row>
    <row r="563" spans="1:38" ht="38.25" x14ac:dyDescent="0.2">
      <c r="A563" s="45" t="s">
        <v>1728</v>
      </c>
      <c r="B563" s="45">
        <v>13433</v>
      </c>
      <c r="C563" s="50" t="s">
        <v>19</v>
      </c>
      <c r="D563" s="50" t="s">
        <v>1729</v>
      </c>
      <c r="E563" s="80" t="s">
        <v>21</v>
      </c>
      <c r="F563" s="50" t="s">
        <v>98</v>
      </c>
      <c r="G563" s="50" t="s">
        <v>1730</v>
      </c>
      <c r="H563" s="88">
        <v>4392</v>
      </c>
      <c r="I563" s="88"/>
      <c r="J563" s="89"/>
      <c r="K563" s="89"/>
      <c r="L563" s="89">
        <f t="shared" si="16"/>
        <v>4392</v>
      </c>
      <c r="M563" s="87">
        <f t="shared" si="17"/>
        <v>4392</v>
      </c>
      <c r="N563" s="89"/>
      <c r="O563" s="89"/>
      <c r="P563" s="48">
        <v>41092</v>
      </c>
      <c r="Q563" s="48">
        <v>41215</v>
      </c>
      <c r="R563" s="49">
        <v>10747</v>
      </c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</row>
    <row r="564" spans="1:38" ht="38.25" x14ac:dyDescent="0.2">
      <c r="A564" s="45" t="s">
        <v>1731</v>
      </c>
      <c r="B564" s="45">
        <v>12833</v>
      </c>
      <c r="C564" s="50" t="s">
        <v>19</v>
      </c>
      <c r="D564" s="50" t="s">
        <v>1732</v>
      </c>
      <c r="E564" s="80" t="s">
        <v>21</v>
      </c>
      <c r="F564" s="50" t="s">
        <v>249</v>
      </c>
      <c r="G564" s="50" t="s">
        <v>1733</v>
      </c>
      <c r="H564" s="88">
        <v>5076.3999999999996</v>
      </c>
      <c r="I564" s="88"/>
      <c r="J564" s="89"/>
      <c r="K564" s="89"/>
      <c r="L564" s="89">
        <f t="shared" si="16"/>
        <v>5076.3999999999996</v>
      </c>
      <c r="M564" s="87">
        <f t="shared" si="17"/>
        <v>5076.3999999999996</v>
      </c>
      <c r="N564" s="89"/>
      <c r="O564" s="89"/>
      <c r="P564" s="48">
        <v>41061</v>
      </c>
      <c r="Q564" s="48">
        <v>41183</v>
      </c>
      <c r="R564" s="49">
        <v>10749</v>
      </c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</row>
    <row r="565" spans="1:38" ht="38.25" x14ac:dyDescent="0.2">
      <c r="A565" s="45" t="s">
        <v>1734</v>
      </c>
      <c r="B565" s="45">
        <v>25818</v>
      </c>
      <c r="C565" s="50" t="s">
        <v>19</v>
      </c>
      <c r="D565" s="50" t="s">
        <v>1687</v>
      </c>
      <c r="E565" s="80" t="s">
        <v>21</v>
      </c>
      <c r="F565" s="50" t="s">
        <v>94</v>
      </c>
      <c r="G565" s="50" t="s">
        <v>1735</v>
      </c>
      <c r="H565" s="88">
        <v>5942.2</v>
      </c>
      <c r="I565" s="88"/>
      <c r="J565" s="89"/>
      <c r="K565" s="89"/>
      <c r="L565" s="89">
        <f t="shared" si="16"/>
        <v>5942.2</v>
      </c>
      <c r="M565" s="87">
        <f t="shared" si="17"/>
        <v>5942.2</v>
      </c>
      <c r="N565" s="89"/>
      <c r="O565" s="89"/>
      <c r="P565" s="48">
        <v>41092</v>
      </c>
      <c r="Q565" s="48">
        <v>41215</v>
      </c>
      <c r="R565" s="49">
        <v>11035</v>
      </c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</row>
    <row r="566" spans="1:38" ht="38.25" x14ac:dyDescent="0.2">
      <c r="A566" s="45" t="s">
        <v>1736</v>
      </c>
      <c r="B566" s="45">
        <v>22442</v>
      </c>
      <c r="C566" s="50" t="s">
        <v>19</v>
      </c>
      <c r="D566" s="50" t="s">
        <v>1737</v>
      </c>
      <c r="E566" s="80" t="s">
        <v>21</v>
      </c>
      <c r="F566" s="50" t="s">
        <v>354</v>
      </c>
      <c r="G566" s="50" t="s">
        <v>1738</v>
      </c>
      <c r="H566" s="88">
        <v>5834.7</v>
      </c>
      <c r="I566" s="88"/>
      <c r="J566" s="89"/>
      <c r="K566" s="89"/>
      <c r="L566" s="89">
        <f t="shared" si="16"/>
        <v>5834.7</v>
      </c>
      <c r="M566" s="87">
        <f t="shared" si="17"/>
        <v>5834.7</v>
      </c>
      <c r="N566" s="89"/>
      <c r="O566" s="89"/>
      <c r="P566" s="48">
        <v>41092</v>
      </c>
      <c r="Q566" s="48">
        <v>41215</v>
      </c>
      <c r="R566" s="49">
        <v>10803</v>
      </c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</row>
    <row r="567" spans="1:38" ht="38.25" x14ac:dyDescent="0.2">
      <c r="A567" s="45" t="s">
        <v>1739</v>
      </c>
      <c r="B567" s="45">
        <v>25884</v>
      </c>
      <c r="C567" s="50" t="s">
        <v>19</v>
      </c>
      <c r="D567" s="50" t="s">
        <v>1740</v>
      </c>
      <c r="E567" s="80" t="s">
        <v>21</v>
      </c>
      <c r="F567" s="50" t="s">
        <v>167</v>
      </c>
      <c r="G567" s="50" t="s">
        <v>1741</v>
      </c>
      <c r="H567" s="88">
        <v>900</v>
      </c>
      <c r="I567" s="88"/>
      <c r="J567" s="89"/>
      <c r="K567" s="89"/>
      <c r="L567" s="89">
        <f t="shared" si="16"/>
        <v>900</v>
      </c>
      <c r="M567" s="87">
        <f t="shared" si="17"/>
        <v>900</v>
      </c>
      <c r="N567" s="89"/>
      <c r="O567" s="89"/>
      <c r="P567" s="48">
        <v>41092</v>
      </c>
      <c r="Q567" s="48">
        <v>41215</v>
      </c>
      <c r="R567" s="49">
        <v>11028</v>
      </c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</row>
    <row r="568" spans="1:38" ht="38.25" x14ac:dyDescent="0.2">
      <c r="A568" s="45" t="s">
        <v>1742</v>
      </c>
      <c r="B568" s="45">
        <v>25834</v>
      </c>
      <c r="C568" s="50" t="s">
        <v>19</v>
      </c>
      <c r="D568" s="50" t="s">
        <v>1743</v>
      </c>
      <c r="E568" s="80" t="s">
        <v>21</v>
      </c>
      <c r="F568" s="50" t="s">
        <v>22</v>
      </c>
      <c r="G568" s="50" t="s">
        <v>1744</v>
      </c>
      <c r="H568" s="88">
        <v>3897</v>
      </c>
      <c r="I568" s="88"/>
      <c r="J568" s="89"/>
      <c r="K568" s="89"/>
      <c r="L568" s="89">
        <f t="shared" si="16"/>
        <v>3897</v>
      </c>
      <c r="M568" s="87">
        <f t="shared" si="17"/>
        <v>3897</v>
      </c>
      <c r="N568" s="89"/>
      <c r="O568" s="89"/>
      <c r="P568" s="48">
        <v>41092</v>
      </c>
      <c r="Q568" s="48">
        <v>41215</v>
      </c>
      <c r="R568" s="49">
        <v>11111</v>
      </c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</row>
    <row r="569" spans="1:38" ht="51" x14ac:dyDescent="0.2">
      <c r="A569" s="45" t="s">
        <v>1745</v>
      </c>
      <c r="B569" s="45">
        <v>25878</v>
      </c>
      <c r="C569" s="50" t="s">
        <v>1746</v>
      </c>
      <c r="D569" s="50" t="s">
        <v>1747</v>
      </c>
      <c r="E569" s="80" t="s">
        <v>21</v>
      </c>
      <c r="F569" s="50" t="s">
        <v>167</v>
      </c>
      <c r="G569" s="50" t="s">
        <v>1748</v>
      </c>
      <c r="H569" s="88">
        <v>900</v>
      </c>
      <c r="I569" s="88"/>
      <c r="J569" s="89"/>
      <c r="K569" s="89"/>
      <c r="L569" s="89">
        <f t="shared" si="16"/>
        <v>900</v>
      </c>
      <c r="M569" s="87">
        <f t="shared" si="17"/>
        <v>900</v>
      </c>
      <c r="N569" s="89"/>
      <c r="O569" s="89"/>
      <c r="P569" s="48">
        <v>41092</v>
      </c>
      <c r="Q569" s="48">
        <v>41945</v>
      </c>
      <c r="R569" s="49">
        <v>10320</v>
      </c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</row>
    <row r="570" spans="1:38" ht="38.25" x14ac:dyDescent="0.2">
      <c r="A570" s="45" t="s">
        <v>1749</v>
      </c>
      <c r="B570" s="45">
        <v>18665</v>
      </c>
      <c r="C570" s="50" t="s">
        <v>1750</v>
      </c>
      <c r="D570" s="50" t="s">
        <v>1751</v>
      </c>
      <c r="E570" s="80" t="s">
        <v>21</v>
      </c>
      <c r="F570" s="50" t="s">
        <v>167</v>
      </c>
      <c r="G570" s="50" t="s">
        <v>1752</v>
      </c>
      <c r="H570" s="88">
        <v>900</v>
      </c>
      <c r="I570" s="88"/>
      <c r="J570" s="89"/>
      <c r="K570" s="89"/>
      <c r="L570" s="89">
        <f t="shared" si="16"/>
        <v>900</v>
      </c>
      <c r="M570" s="87">
        <f t="shared" si="17"/>
        <v>900</v>
      </c>
      <c r="N570" s="89"/>
      <c r="O570" s="89"/>
      <c r="P570" s="48">
        <v>41092</v>
      </c>
      <c r="Q570" s="48">
        <v>41215</v>
      </c>
      <c r="R570" s="49">
        <v>10330</v>
      </c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</row>
    <row r="571" spans="1:38" ht="38.25" x14ac:dyDescent="0.2">
      <c r="A571" s="45" t="s">
        <v>1753</v>
      </c>
      <c r="B571" s="45">
        <v>25869</v>
      </c>
      <c r="C571" s="50" t="s">
        <v>1750</v>
      </c>
      <c r="D571" s="50" t="s">
        <v>1754</v>
      </c>
      <c r="E571" s="80" t="s">
        <v>21</v>
      </c>
      <c r="F571" s="50" t="s">
        <v>167</v>
      </c>
      <c r="G571" s="50" t="s">
        <v>1755</v>
      </c>
      <c r="H571" s="88">
        <v>900</v>
      </c>
      <c r="I571" s="88"/>
      <c r="J571" s="89"/>
      <c r="K571" s="89"/>
      <c r="L571" s="89">
        <f t="shared" si="16"/>
        <v>900</v>
      </c>
      <c r="M571" s="87">
        <f t="shared" si="17"/>
        <v>900</v>
      </c>
      <c r="N571" s="89"/>
      <c r="O571" s="89"/>
      <c r="P571" s="48">
        <v>41092</v>
      </c>
      <c r="Q571" s="48">
        <v>41215</v>
      </c>
      <c r="R571" s="49">
        <v>10333</v>
      </c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</row>
    <row r="572" spans="1:38" ht="38.25" x14ac:dyDescent="0.2">
      <c r="A572" s="45" t="s">
        <v>1756</v>
      </c>
      <c r="B572" s="45">
        <v>23465</v>
      </c>
      <c r="C572" s="50" t="s">
        <v>1750</v>
      </c>
      <c r="D572" s="50" t="s">
        <v>1757</v>
      </c>
      <c r="E572" s="80" t="s">
        <v>21</v>
      </c>
      <c r="F572" s="50" t="s">
        <v>167</v>
      </c>
      <c r="G572" s="50" t="s">
        <v>1758</v>
      </c>
      <c r="H572" s="88">
        <v>900</v>
      </c>
      <c r="I572" s="88"/>
      <c r="J572" s="89"/>
      <c r="K572" s="89"/>
      <c r="L572" s="89">
        <f t="shared" si="16"/>
        <v>900</v>
      </c>
      <c r="M572" s="87">
        <f t="shared" si="17"/>
        <v>900</v>
      </c>
      <c r="N572" s="89"/>
      <c r="O572" s="89"/>
      <c r="P572" s="48">
        <v>41092</v>
      </c>
      <c r="Q572" s="48">
        <v>41215</v>
      </c>
      <c r="R572" s="49">
        <v>10323</v>
      </c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</row>
    <row r="573" spans="1:38" ht="38.25" x14ac:dyDescent="0.2">
      <c r="A573" s="45" t="s">
        <v>1759</v>
      </c>
      <c r="B573" s="45">
        <v>25292</v>
      </c>
      <c r="C573" s="50" t="s">
        <v>231</v>
      </c>
      <c r="D573" s="50" t="s">
        <v>1760</v>
      </c>
      <c r="E573" s="80" t="s">
        <v>21</v>
      </c>
      <c r="F573" s="50" t="s">
        <v>71</v>
      </c>
      <c r="G573" s="50" t="s">
        <v>1761</v>
      </c>
      <c r="H573" s="88">
        <v>1400.41</v>
      </c>
      <c r="I573" s="88"/>
      <c r="J573" s="89"/>
      <c r="K573" s="89"/>
      <c r="L573" s="89">
        <f t="shared" si="16"/>
        <v>1400.41</v>
      </c>
      <c r="M573" s="87">
        <f t="shared" si="17"/>
        <v>1400.41</v>
      </c>
      <c r="N573" s="89"/>
      <c r="O573" s="89"/>
      <c r="P573" s="48">
        <v>41092</v>
      </c>
      <c r="Q573" s="48">
        <v>41215</v>
      </c>
      <c r="R573" s="49">
        <v>10328</v>
      </c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</row>
    <row r="574" spans="1:38" ht="51" x14ac:dyDescent="0.2">
      <c r="A574" s="45" t="s">
        <v>1762</v>
      </c>
      <c r="B574" s="45">
        <v>25895</v>
      </c>
      <c r="C574" s="50" t="s">
        <v>66</v>
      </c>
      <c r="D574" s="50" t="s">
        <v>1763</v>
      </c>
      <c r="E574" s="80" t="s">
        <v>21</v>
      </c>
      <c r="F574" s="50" t="s">
        <v>167</v>
      </c>
      <c r="G574" s="50" t="s">
        <v>1764</v>
      </c>
      <c r="H574" s="88">
        <v>936</v>
      </c>
      <c r="I574" s="88"/>
      <c r="J574" s="89"/>
      <c r="K574" s="89"/>
      <c r="L574" s="89">
        <f t="shared" si="16"/>
        <v>936</v>
      </c>
      <c r="M574" s="87">
        <f t="shared" si="17"/>
        <v>936</v>
      </c>
      <c r="N574" s="89"/>
      <c r="O574" s="89"/>
      <c r="P574" s="48">
        <v>41081</v>
      </c>
      <c r="Q574" s="48">
        <v>41203</v>
      </c>
      <c r="R574" s="49">
        <v>10318</v>
      </c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</row>
    <row r="575" spans="1:38" ht="38.25" x14ac:dyDescent="0.2">
      <c r="A575" s="45" t="s">
        <v>1765</v>
      </c>
      <c r="B575" s="45">
        <v>16782</v>
      </c>
      <c r="C575" s="50" t="s">
        <v>238</v>
      </c>
      <c r="D575" s="50" t="s">
        <v>1766</v>
      </c>
      <c r="E575" s="80" t="s">
        <v>1767</v>
      </c>
      <c r="F575" s="50" t="s">
        <v>98</v>
      </c>
      <c r="G575" s="50" t="s">
        <v>1768</v>
      </c>
      <c r="H575" s="88">
        <v>5100</v>
      </c>
      <c r="I575" s="88"/>
      <c r="J575" s="89"/>
      <c r="K575" s="89"/>
      <c r="L575" s="89">
        <f t="shared" si="16"/>
        <v>5100</v>
      </c>
      <c r="M575" s="87">
        <f t="shared" si="17"/>
        <v>5100</v>
      </c>
      <c r="N575" s="89"/>
      <c r="O575" s="89"/>
      <c r="P575" s="48">
        <v>41092</v>
      </c>
      <c r="Q575" s="48">
        <v>41215</v>
      </c>
      <c r="R575" s="49">
        <v>10311</v>
      </c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</row>
    <row r="576" spans="1:38" ht="38.25" x14ac:dyDescent="0.2">
      <c r="A576" s="45" t="s">
        <v>1769</v>
      </c>
      <c r="B576" s="45">
        <v>23269</v>
      </c>
      <c r="C576" s="50" t="s">
        <v>238</v>
      </c>
      <c r="D576" s="50" t="s">
        <v>643</v>
      </c>
      <c r="E576" s="80" t="s">
        <v>1767</v>
      </c>
      <c r="F576" s="50" t="s">
        <v>167</v>
      </c>
      <c r="G576" s="83" t="s">
        <v>1770</v>
      </c>
      <c r="H576" s="88">
        <v>3960</v>
      </c>
      <c r="I576" s="88"/>
      <c r="J576" s="89"/>
      <c r="K576" s="89"/>
      <c r="L576" s="89">
        <f t="shared" si="16"/>
        <v>3960</v>
      </c>
      <c r="M576" s="87">
        <f t="shared" si="17"/>
        <v>3960</v>
      </c>
      <c r="N576" s="89"/>
      <c r="O576" s="89"/>
      <c r="P576" s="48">
        <v>41092</v>
      </c>
      <c r="Q576" s="48">
        <v>41215</v>
      </c>
      <c r="R576" s="49">
        <v>10299</v>
      </c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</row>
    <row r="577" spans="1:38" ht="38.25" x14ac:dyDescent="0.2">
      <c r="A577" s="45" t="s">
        <v>1771</v>
      </c>
      <c r="B577" s="45">
        <v>23943</v>
      </c>
      <c r="C577" s="50" t="s">
        <v>390</v>
      </c>
      <c r="D577" s="50" t="s">
        <v>1772</v>
      </c>
      <c r="E577" s="80" t="s">
        <v>21</v>
      </c>
      <c r="F577" s="50" t="s">
        <v>121</v>
      </c>
      <c r="G577" s="50" t="s">
        <v>1773</v>
      </c>
      <c r="H577" s="88">
        <v>894</v>
      </c>
      <c r="I577" s="88"/>
      <c r="J577" s="89"/>
      <c r="K577" s="89"/>
      <c r="L577" s="89">
        <f t="shared" si="16"/>
        <v>894</v>
      </c>
      <c r="M577" s="87">
        <f t="shared" si="17"/>
        <v>894</v>
      </c>
      <c r="N577" s="89"/>
      <c r="O577" s="89"/>
      <c r="P577" s="48">
        <v>41092</v>
      </c>
      <c r="Q577" s="48">
        <v>41215</v>
      </c>
      <c r="R577" s="49">
        <v>10284</v>
      </c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</row>
    <row r="578" spans="1:38" ht="51" x14ac:dyDescent="0.2">
      <c r="A578" s="45" t="s">
        <v>1774</v>
      </c>
      <c r="B578" s="45">
        <v>18918</v>
      </c>
      <c r="C578" s="50" t="s">
        <v>113</v>
      </c>
      <c r="D578" s="50" t="s">
        <v>1775</v>
      </c>
      <c r="E578" s="80" t="s">
        <v>21</v>
      </c>
      <c r="F578" s="50" t="s">
        <v>22</v>
      </c>
      <c r="G578" s="50" t="s">
        <v>1776</v>
      </c>
      <c r="H578" s="88">
        <v>1320</v>
      </c>
      <c r="I578" s="88"/>
      <c r="J578" s="89"/>
      <c r="K578" s="89"/>
      <c r="L578" s="89">
        <f t="shared" si="16"/>
        <v>1320</v>
      </c>
      <c r="M578" s="87">
        <f t="shared" si="17"/>
        <v>1320</v>
      </c>
      <c r="N578" s="89"/>
      <c r="O578" s="89"/>
      <c r="P578" s="48">
        <v>41092</v>
      </c>
      <c r="Q578" s="48">
        <v>41215</v>
      </c>
      <c r="R578" s="61">
        <v>10160</v>
      </c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</row>
    <row r="579" spans="1:38" ht="38.25" x14ac:dyDescent="0.2">
      <c r="A579" s="45" t="s">
        <v>1777</v>
      </c>
      <c r="B579" s="45">
        <v>25855</v>
      </c>
      <c r="C579" s="50" t="s">
        <v>35</v>
      </c>
      <c r="D579" s="50" t="s">
        <v>1778</v>
      </c>
      <c r="E579" s="80" t="s">
        <v>21</v>
      </c>
      <c r="F579" s="50" t="s">
        <v>94</v>
      </c>
      <c r="G579" s="50" t="s">
        <v>1779</v>
      </c>
      <c r="H579" s="88">
        <v>5747</v>
      </c>
      <c r="I579" s="88"/>
      <c r="J579" s="89"/>
      <c r="K579" s="89"/>
      <c r="L579" s="89">
        <f t="shared" si="16"/>
        <v>5747</v>
      </c>
      <c r="M579" s="87">
        <f t="shared" si="17"/>
        <v>5747</v>
      </c>
      <c r="N579" s="89"/>
      <c r="O579" s="89"/>
      <c r="P579" s="48">
        <v>41092</v>
      </c>
      <c r="Q579" s="48">
        <v>41215</v>
      </c>
      <c r="R579" s="49">
        <v>10279</v>
      </c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</row>
    <row r="580" spans="1:38" ht="51" x14ac:dyDescent="0.2">
      <c r="A580" s="45" t="s">
        <v>1780</v>
      </c>
      <c r="B580" s="45">
        <v>25287</v>
      </c>
      <c r="C580" s="50" t="s">
        <v>35</v>
      </c>
      <c r="D580" s="50" t="s">
        <v>991</v>
      </c>
      <c r="E580" s="80" t="s">
        <v>21</v>
      </c>
      <c r="F580" s="50" t="s">
        <v>249</v>
      </c>
      <c r="G580" s="50" t="s">
        <v>1781</v>
      </c>
      <c r="H580" s="88">
        <v>5357.6</v>
      </c>
      <c r="I580" s="88"/>
      <c r="J580" s="89"/>
      <c r="K580" s="89"/>
      <c r="L580" s="89">
        <f t="shared" si="16"/>
        <v>5357.6</v>
      </c>
      <c r="M580" s="87">
        <f t="shared" si="17"/>
        <v>5357.6</v>
      </c>
      <c r="N580" s="89"/>
      <c r="O580" s="89"/>
      <c r="P580" s="48">
        <v>41092</v>
      </c>
      <c r="Q580" s="48">
        <v>41215</v>
      </c>
      <c r="R580" s="49">
        <v>10273</v>
      </c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</row>
    <row r="581" spans="1:38" ht="38.25" x14ac:dyDescent="0.2">
      <c r="A581" s="45" t="s">
        <v>1782</v>
      </c>
      <c r="B581" s="45">
        <v>25173</v>
      </c>
      <c r="C581" s="50" t="s">
        <v>19</v>
      </c>
      <c r="D581" s="50" t="s">
        <v>1783</v>
      </c>
      <c r="E581" s="80" t="s">
        <v>21</v>
      </c>
      <c r="F581" s="50" t="s">
        <v>98</v>
      </c>
      <c r="G581" s="50" t="s">
        <v>1479</v>
      </c>
      <c r="H581" s="88">
        <v>700</v>
      </c>
      <c r="I581" s="88"/>
      <c r="J581" s="89"/>
      <c r="K581" s="89"/>
      <c r="L581" s="89">
        <f t="shared" si="16"/>
        <v>700</v>
      </c>
      <c r="M581" s="87">
        <f t="shared" si="17"/>
        <v>700</v>
      </c>
      <c r="N581" s="89"/>
      <c r="O581" s="89"/>
      <c r="P581" s="48">
        <v>41061</v>
      </c>
      <c r="Q581" s="48">
        <v>41183</v>
      </c>
      <c r="R581" s="49">
        <v>10651</v>
      </c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</row>
    <row r="582" spans="1:38" ht="38.25" x14ac:dyDescent="0.2">
      <c r="A582" s="45" t="s">
        <v>1784</v>
      </c>
      <c r="B582" s="45">
        <v>25849</v>
      </c>
      <c r="C582" s="50" t="s">
        <v>1135</v>
      </c>
      <c r="D582" s="50" t="s">
        <v>1785</v>
      </c>
      <c r="E582" s="80" t="s">
        <v>21</v>
      </c>
      <c r="F582" s="50" t="s">
        <v>167</v>
      </c>
      <c r="G582" s="50" t="s">
        <v>1476</v>
      </c>
      <c r="H582" s="88">
        <v>1800</v>
      </c>
      <c r="I582" s="88"/>
      <c r="J582" s="89"/>
      <c r="K582" s="89"/>
      <c r="L582" s="89">
        <f t="shared" si="16"/>
        <v>1800</v>
      </c>
      <c r="M582" s="87">
        <f t="shared" si="17"/>
        <v>1800</v>
      </c>
      <c r="N582" s="89"/>
      <c r="O582" s="89"/>
      <c r="P582" s="48">
        <v>41092</v>
      </c>
      <c r="Q582" s="48">
        <v>41215</v>
      </c>
      <c r="R582" s="61">
        <v>10161</v>
      </c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</row>
    <row r="583" spans="1:38" ht="38.25" x14ac:dyDescent="0.2">
      <c r="A583" s="45" t="s">
        <v>1786</v>
      </c>
      <c r="B583" s="45">
        <v>25833</v>
      </c>
      <c r="C583" s="50" t="s">
        <v>1135</v>
      </c>
      <c r="D583" s="50" t="s">
        <v>1787</v>
      </c>
      <c r="E583" s="80" t="s">
        <v>21</v>
      </c>
      <c r="F583" s="50" t="s">
        <v>167</v>
      </c>
      <c r="G583" s="50" t="s">
        <v>1788</v>
      </c>
      <c r="H583" s="88">
        <v>900</v>
      </c>
      <c r="I583" s="88"/>
      <c r="J583" s="89"/>
      <c r="K583" s="89"/>
      <c r="L583" s="89">
        <f t="shared" ref="L583:L646" si="18">H583+I583+J583+K583</f>
        <v>900</v>
      </c>
      <c r="M583" s="87">
        <f t="shared" ref="M583:M646" si="19">SUM(L583)</f>
        <v>900</v>
      </c>
      <c r="N583" s="89"/>
      <c r="O583" s="89"/>
      <c r="P583" s="48">
        <v>41099</v>
      </c>
      <c r="Q583" s="48">
        <v>41222</v>
      </c>
      <c r="R583" s="49">
        <v>10308</v>
      </c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</row>
    <row r="584" spans="1:38" ht="38.25" x14ac:dyDescent="0.2">
      <c r="A584" s="45" t="s">
        <v>1789</v>
      </c>
      <c r="B584" s="45">
        <v>25842</v>
      </c>
      <c r="C584" s="50" t="s">
        <v>478</v>
      </c>
      <c r="D584" s="50" t="s">
        <v>1790</v>
      </c>
      <c r="E584" s="80" t="s">
        <v>21</v>
      </c>
      <c r="F584" s="50" t="s">
        <v>193</v>
      </c>
      <c r="G584" s="50" t="s">
        <v>1791</v>
      </c>
      <c r="H584" s="88">
        <v>4990.8</v>
      </c>
      <c r="I584" s="88"/>
      <c r="J584" s="88"/>
      <c r="K584" s="88"/>
      <c r="L584" s="89">
        <f t="shared" si="18"/>
        <v>4990.8</v>
      </c>
      <c r="M584" s="87">
        <f t="shared" si="19"/>
        <v>4990.8</v>
      </c>
      <c r="N584" s="89"/>
      <c r="O584" s="89"/>
      <c r="P584" s="48">
        <v>41092</v>
      </c>
      <c r="Q584" s="48">
        <v>41215</v>
      </c>
      <c r="R584" s="61">
        <v>10162</v>
      </c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</row>
    <row r="585" spans="1:38" ht="38.25" x14ac:dyDescent="0.2">
      <c r="A585" s="45" t="s">
        <v>1792</v>
      </c>
      <c r="B585" s="45">
        <v>25165</v>
      </c>
      <c r="C585" s="50" t="s">
        <v>478</v>
      </c>
      <c r="D585" s="50" t="s">
        <v>1793</v>
      </c>
      <c r="E585" s="80" t="s">
        <v>21</v>
      </c>
      <c r="F585" s="50" t="s">
        <v>249</v>
      </c>
      <c r="G585" s="50" t="s">
        <v>1794</v>
      </c>
      <c r="H585" s="88">
        <v>4179</v>
      </c>
      <c r="I585" s="88"/>
      <c r="J585" s="89"/>
      <c r="K585" s="89"/>
      <c r="L585" s="89">
        <f t="shared" si="18"/>
        <v>4179</v>
      </c>
      <c r="M585" s="87">
        <f t="shared" si="19"/>
        <v>4179</v>
      </c>
      <c r="N585" s="89"/>
      <c r="O585" s="89"/>
      <c r="P585" s="48">
        <v>41092</v>
      </c>
      <c r="Q585" s="48">
        <v>41215</v>
      </c>
      <c r="R585" s="61">
        <v>10157</v>
      </c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</row>
    <row r="586" spans="1:38" ht="38.25" x14ac:dyDescent="0.2">
      <c r="A586" s="45" t="s">
        <v>1795</v>
      </c>
      <c r="B586" s="45">
        <v>25892</v>
      </c>
      <c r="C586" s="50" t="s">
        <v>369</v>
      </c>
      <c r="D586" s="50" t="s">
        <v>1796</v>
      </c>
      <c r="E586" s="80" t="s">
        <v>21</v>
      </c>
      <c r="F586" s="50" t="s">
        <v>98</v>
      </c>
      <c r="G586" s="50" t="s">
        <v>1797</v>
      </c>
      <c r="H586" s="88">
        <v>4821.9799999999996</v>
      </c>
      <c r="I586" s="88"/>
      <c r="J586" s="89"/>
      <c r="K586" s="89"/>
      <c r="L586" s="89">
        <f t="shared" si="18"/>
        <v>4821.9799999999996</v>
      </c>
      <c r="M586" s="87">
        <f t="shared" si="19"/>
        <v>4821.9799999999996</v>
      </c>
      <c r="N586" s="89"/>
      <c r="O586" s="89"/>
      <c r="P586" s="48">
        <v>41092</v>
      </c>
      <c r="Q586" s="48">
        <v>41184</v>
      </c>
      <c r="R586" s="61">
        <v>10163</v>
      </c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</row>
    <row r="587" spans="1:38" ht="38.25" x14ac:dyDescent="0.2">
      <c r="A587" s="45" t="s">
        <v>1798</v>
      </c>
      <c r="B587" s="45">
        <v>25872</v>
      </c>
      <c r="C587" s="50" t="s">
        <v>43</v>
      </c>
      <c r="D587" s="50" t="s">
        <v>1799</v>
      </c>
      <c r="E587" s="80" t="s">
        <v>21</v>
      </c>
      <c r="F587" s="50" t="s">
        <v>71</v>
      </c>
      <c r="G587" s="50" t="s">
        <v>1800</v>
      </c>
      <c r="H587" s="88">
        <v>4869.2</v>
      </c>
      <c r="I587" s="88"/>
      <c r="J587" s="89"/>
      <c r="K587" s="89"/>
      <c r="L587" s="89">
        <f t="shared" si="18"/>
        <v>4869.2</v>
      </c>
      <c r="M587" s="87">
        <f t="shared" si="19"/>
        <v>4869.2</v>
      </c>
      <c r="N587" s="89"/>
      <c r="O587" s="89"/>
      <c r="P587" s="48">
        <v>41122</v>
      </c>
      <c r="Q587" s="48">
        <v>41304</v>
      </c>
      <c r="R587" s="49">
        <v>10913</v>
      </c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</row>
    <row r="588" spans="1:38" ht="63.75" x14ac:dyDescent="0.2">
      <c r="A588" s="45" t="s">
        <v>1801</v>
      </c>
      <c r="B588" s="64">
        <v>32847</v>
      </c>
      <c r="C588" s="50" t="s">
        <v>43</v>
      </c>
      <c r="D588" s="50" t="s">
        <v>1802</v>
      </c>
      <c r="E588" s="50" t="s">
        <v>308</v>
      </c>
      <c r="F588" s="50" t="s">
        <v>87</v>
      </c>
      <c r="G588" s="50" t="s">
        <v>1803</v>
      </c>
      <c r="H588" s="88">
        <v>13886</v>
      </c>
      <c r="I588" s="88"/>
      <c r="J588" s="89"/>
      <c r="K588" s="89"/>
      <c r="L588" s="89">
        <f t="shared" si="18"/>
        <v>13886</v>
      </c>
      <c r="M588" s="87">
        <f t="shared" si="19"/>
        <v>13886</v>
      </c>
      <c r="N588" s="89"/>
      <c r="O588" s="89"/>
      <c r="P588" s="48">
        <v>41200</v>
      </c>
      <c r="Q588" s="48">
        <v>41382</v>
      </c>
      <c r="R588" s="49">
        <v>11869</v>
      </c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</row>
    <row r="589" spans="1:38" ht="25.5" x14ac:dyDescent="0.2">
      <c r="A589" s="45" t="s">
        <v>1804</v>
      </c>
      <c r="B589" s="64">
        <v>32900</v>
      </c>
      <c r="C589" s="50" t="s">
        <v>1135</v>
      </c>
      <c r="D589" s="50" t="s">
        <v>1805</v>
      </c>
      <c r="E589" s="50" t="s">
        <v>308</v>
      </c>
      <c r="F589" s="50" t="s">
        <v>87</v>
      </c>
      <c r="G589" s="50" t="s">
        <v>1806</v>
      </c>
      <c r="H589" s="88">
        <v>7432</v>
      </c>
      <c r="I589" s="88"/>
      <c r="J589" s="89"/>
      <c r="K589" s="89"/>
      <c r="L589" s="89">
        <f t="shared" si="18"/>
        <v>7432</v>
      </c>
      <c r="M589" s="87">
        <f t="shared" si="19"/>
        <v>7432</v>
      </c>
      <c r="N589" s="89"/>
      <c r="O589" s="89"/>
      <c r="P589" s="48">
        <v>41198</v>
      </c>
      <c r="Q589" s="48">
        <v>41380</v>
      </c>
      <c r="R589" s="49">
        <v>11952</v>
      </c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</row>
    <row r="590" spans="1:38" ht="25.5" x14ac:dyDescent="0.2">
      <c r="A590" s="45" t="s">
        <v>1807</v>
      </c>
      <c r="B590" s="57">
        <v>9182</v>
      </c>
      <c r="C590" s="50" t="s">
        <v>43</v>
      </c>
      <c r="D590" s="60" t="s">
        <v>1808</v>
      </c>
      <c r="E590" s="80" t="s">
        <v>585</v>
      </c>
      <c r="F590" s="50" t="s">
        <v>398</v>
      </c>
      <c r="G590" s="60" t="s">
        <v>1809</v>
      </c>
      <c r="H590" s="88">
        <f>2070+2000+5040</f>
        <v>9110</v>
      </c>
      <c r="I590" s="88">
        <v>4320</v>
      </c>
      <c r="J590" s="89"/>
      <c r="K590" s="89">
        <v>24270</v>
      </c>
      <c r="L590" s="89">
        <f t="shared" si="18"/>
        <v>37700</v>
      </c>
      <c r="M590" s="87">
        <f t="shared" si="19"/>
        <v>37700</v>
      </c>
      <c r="N590" s="89"/>
      <c r="O590" s="89"/>
      <c r="P590" s="48">
        <v>41131</v>
      </c>
      <c r="Q590" s="48">
        <v>42612</v>
      </c>
      <c r="R590" s="49">
        <v>10906</v>
      </c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</row>
    <row r="591" spans="1:38" ht="38.25" x14ac:dyDescent="0.2">
      <c r="A591" s="45" t="s">
        <v>1810</v>
      </c>
      <c r="B591" s="57">
        <v>21277</v>
      </c>
      <c r="C591" s="50" t="s">
        <v>43</v>
      </c>
      <c r="D591" s="60" t="s">
        <v>1811</v>
      </c>
      <c r="E591" s="80" t="s">
        <v>585</v>
      </c>
      <c r="F591" s="50" t="s">
        <v>22</v>
      </c>
      <c r="G591" s="60" t="s">
        <v>1812</v>
      </c>
      <c r="H591" s="88">
        <v>34796</v>
      </c>
      <c r="I591" s="88"/>
      <c r="J591" s="89"/>
      <c r="K591" s="89"/>
      <c r="L591" s="89">
        <f t="shared" si="18"/>
        <v>34796</v>
      </c>
      <c r="M591" s="87">
        <f t="shared" si="19"/>
        <v>34796</v>
      </c>
      <c r="N591" s="89"/>
      <c r="O591" s="89"/>
      <c r="P591" s="48">
        <v>41130</v>
      </c>
      <c r="Q591" s="48">
        <v>42459</v>
      </c>
      <c r="R591" s="49">
        <v>10916</v>
      </c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</row>
    <row r="592" spans="1:38" ht="51" x14ac:dyDescent="0.2">
      <c r="A592" s="45" t="s">
        <v>1813</v>
      </c>
      <c r="B592" s="57">
        <v>21482</v>
      </c>
      <c r="C592" s="50" t="s">
        <v>43</v>
      </c>
      <c r="D592" s="60" t="s">
        <v>1814</v>
      </c>
      <c r="E592" s="80" t="s">
        <v>585</v>
      </c>
      <c r="F592" s="50" t="s">
        <v>121</v>
      </c>
      <c r="G592" s="60" t="s">
        <v>1815</v>
      </c>
      <c r="H592" s="88">
        <f>14976+800+8160</f>
        <v>23936</v>
      </c>
      <c r="I592" s="88"/>
      <c r="J592" s="89"/>
      <c r="K592" s="89">
        <f>10200</f>
        <v>10200</v>
      </c>
      <c r="L592" s="89">
        <f t="shared" si="18"/>
        <v>34136</v>
      </c>
      <c r="M592" s="87">
        <f t="shared" si="19"/>
        <v>34136</v>
      </c>
      <c r="N592" s="89"/>
      <c r="O592" s="89"/>
      <c r="P592" s="48">
        <v>41142</v>
      </c>
      <c r="Q592" s="48">
        <v>42145</v>
      </c>
      <c r="R592" s="49">
        <v>11015</v>
      </c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</row>
    <row r="593" spans="1:38" ht="51" x14ac:dyDescent="0.2">
      <c r="A593" s="45" t="s">
        <v>1816</v>
      </c>
      <c r="B593" s="57">
        <v>22141</v>
      </c>
      <c r="C593" s="50" t="s">
        <v>43</v>
      </c>
      <c r="D593" s="60" t="s">
        <v>1817</v>
      </c>
      <c r="E593" s="80" t="s">
        <v>585</v>
      </c>
      <c r="F593" s="50" t="s">
        <v>26</v>
      </c>
      <c r="G593" s="60" t="s">
        <v>1818</v>
      </c>
      <c r="H593" s="88">
        <f>5625+436</f>
        <v>6061</v>
      </c>
      <c r="I593" s="88">
        <v>8640</v>
      </c>
      <c r="J593" s="89"/>
      <c r="K593" s="89">
        <v>5340</v>
      </c>
      <c r="L593" s="89">
        <f t="shared" si="18"/>
        <v>20041</v>
      </c>
      <c r="M593" s="87">
        <f t="shared" si="19"/>
        <v>20041</v>
      </c>
      <c r="N593" s="89"/>
      <c r="O593" s="89"/>
      <c r="P593" s="48">
        <v>41190</v>
      </c>
      <c r="Q593" s="48">
        <v>41920</v>
      </c>
      <c r="R593" s="49">
        <v>11707</v>
      </c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</row>
    <row r="594" spans="1:38" ht="51" x14ac:dyDescent="0.2">
      <c r="A594" s="45" t="s">
        <v>1819</v>
      </c>
      <c r="B594" s="57">
        <v>23005</v>
      </c>
      <c r="C594" s="50" t="s">
        <v>43</v>
      </c>
      <c r="D594" s="60" t="s">
        <v>1820</v>
      </c>
      <c r="E594" s="80" t="s">
        <v>585</v>
      </c>
      <c r="F594" s="50" t="s">
        <v>98</v>
      </c>
      <c r="G594" s="60" t="s">
        <v>1821</v>
      </c>
      <c r="H594" s="88">
        <f>3960+2000+2000+3000+2000</f>
        <v>12960</v>
      </c>
      <c r="I594" s="88"/>
      <c r="J594" s="89"/>
      <c r="K594" s="89">
        <f>4800+4000</f>
        <v>8800</v>
      </c>
      <c r="L594" s="89">
        <f t="shared" si="18"/>
        <v>21760</v>
      </c>
      <c r="M594" s="87">
        <f t="shared" si="19"/>
        <v>21760</v>
      </c>
      <c r="N594" s="89"/>
      <c r="O594" s="89"/>
      <c r="P594" s="48">
        <v>41130</v>
      </c>
      <c r="Q594" s="48">
        <v>42367</v>
      </c>
      <c r="R594" s="49">
        <v>10926</v>
      </c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</row>
    <row r="595" spans="1:38" ht="38.25" x14ac:dyDescent="0.2">
      <c r="A595" s="45" t="s">
        <v>1822</v>
      </c>
      <c r="B595" s="45">
        <v>32816</v>
      </c>
      <c r="C595" s="50" t="s">
        <v>503</v>
      </c>
      <c r="D595" s="50" t="s">
        <v>504</v>
      </c>
      <c r="E595" s="80" t="s">
        <v>308</v>
      </c>
      <c r="F595" s="50" t="s">
        <v>167</v>
      </c>
      <c r="G595" s="50" t="s">
        <v>1823</v>
      </c>
      <c r="H595" s="88">
        <v>17100</v>
      </c>
      <c r="I595" s="88"/>
      <c r="J595" s="89"/>
      <c r="K595" s="89"/>
      <c r="L595" s="89">
        <f t="shared" si="18"/>
        <v>17100</v>
      </c>
      <c r="M595" s="87">
        <f t="shared" si="19"/>
        <v>17100</v>
      </c>
      <c r="N595" s="89"/>
      <c r="O595" s="89"/>
      <c r="P595" s="48">
        <v>41092</v>
      </c>
      <c r="Q595" s="48">
        <v>41276</v>
      </c>
      <c r="R595" s="49">
        <v>9671</v>
      </c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</row>
    <row r="596" spans="1:38" ht="25.5" x14ac:dyDescent="0.2">
      <c r="A596" s="45" t="s">
        <v>1824</v>
      </c>
      <c r="B596" s="45">
        <v>32875</v>
      </c>
      <c r="C596" s="50" t="s">
        <v>1135</v>
      </c>
      <c r="D596" s="50" t="s">
        <v>1825</v>
      </c>
      <c r="E596" s="80" t="s">
        <v>308</v>
      </c>
      <c r="F596" s="50" t="s">
        <v>87</v>
      </c>
      <c r="G596" s="50" t="s">
        <v>1826</v>
      </c>
      <c r="H596" s="88">
        <v>5730</v>
      </c>
      <c r="I596" s="88"/>
      <c r="J596" s="89"/>
      <c r="K596" s="89"/>
      <c r="L596" s="89">
        <f t="shared" si="18"/>
        <v>5730</v>
      </c>
      <c r="M596" s="87">
        <f t="shared" si="19"/>
        <v>5730</v>
      </c>
      <c r="N596" s="89"/>
      <c r="O596" s="89"/>
      <c r="P596" s="48">
        <v>41108</v>
      </c>
      <c r="Q596" s="48">
        <v>41292</v>
      </c>
      <c r="R596" s="49">
        <v>10558</v>
      </c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</row>
    <row r="597" spans="1:38" ht="38.25" x14ac:dyDescent="0.2">
      <c r="A597" s="45" t="s">
        <v>1827</v>
      </c>
      <c r="B597" s="45">
        <v>32618</v>
      </c>
      <c r="C597" s="50" t="s">
        <v>457</v>
      </c>
      <c r="D597" s="50" t="s">
        <v>1828</v>
      </c>
      <c r="E597" s="80" t="s">
        <v>308</v>
      </c>
      <c r="F597" s="50" t="s">
        <v>167</v>
      </c>
      <c r="G597" s="50" t="s">
        <v>1829</v>
      </c>
      <c r="H597" s="88">
        <v>10595</v>
      </c>
      <c r="I597" s="88"/>
      <c r="J597" s="89"/>
      <c r="K597" s="89"/>
      <c r="L597" s="89">
        <f t="shared" si="18"/>
        <v>10595</v>
      </c>
      <c r="M597" s="87">
        <f t="shared" si="19"/>
        <v>10595</v>
      </c>
      <c r="N597" s="89"/>
      <c r="O597" s="89"/>
      <c r="P597" s="48">
        <v>41106</v>
      </c>
      <c r="Q597" s="48">
        <v>41290</v>
      </c>
      <c r="R597" s="49">
        <v>10988</v>
      </c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</row>
    <row r="598" spans="1:38" ht="25.5" x14ac:dyDescent="0.2">
      <c r="A598" s="45" t="s">
        <v>1830</v>
      </c>
      <c r="B598" s="45">
        <v>1662</v>
      </c>
      <c r="C598" s="50" t="s">
        <v>1831</v>
      </c>
      <c r="D598" s="50" t="s">
        <v>1832</v>
      </c>
      <c r="E598" s="80" t="s">
        <v>308</v>
      </c>
      <c r="F598" s="50" t="s">
        <v>71</v>
      </c>
      <c r="G598" s="50" t="s">
        <v>1833</v>
      </c>
      <c r="H598" s="88">
        <v>17825</v>
      </c>
      <c r="I598" s="88"/>
      <c r="J598" s="89"/>
      <c r="K598" s="89"/>
      <c r="L598" s="89">
        <f t="shared" si="18"/>
        <v>17825</v>
      </c>
      <c r="M598" s="87">
        <f t="shared" si="19"/>
        <v>17825</v>
      </c>
      <c r="N598" s="89"/>
      <c r="O598" s="89"/>
      <c r="P598" s="48">
        <v>41116</v>
      </c>
      <c r="Q598" s="48">
        <v>41300</v>
      </c>
      <c r="R598" s="49">
        <v>10990</v>
      </c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</row>
    <row r="599" spans="1:38" ht="76.5" x14ac:dyDescent="0.2">
      <c r="A599" s="45" t="s">
        <v>1834</v>
      </c>
      <c r="B599" s="45">
        <v>33017</v>
      </c>
      <c r="C599" s="50" t="s">
        <v>1404</v>
      </c>
      <c r="D599" s="50" t="s">
        <v>1835</v>
      </c>
      <c r="E599" s="80" t="s">
        <v>308</v>
      </c>
      <c r="F599" s="50" t="s">
        <v>87</v>
      </c>
      <c r="G599" s="50" t="s">
        <v>1836</v>
      </c>
      <c r="H599" s="88">
        <v>3338.34</v>
      </c>
      <c r="I599" s="88"/>
      <c r="J599" s="89"/>
      <c r="K599" s="89"/>
      <c r="L599" s="89">
        <f t="shared" si="18"/>
        <v>3338.34</v>
      </c>
      <c r="M599" s="87">
        <f t="shared" si="19"/>
        <v>3338.34</v>
      </c>
      <c r="N599" s="89"/>
      <c r="O599" s="89"/>
      <c r="P599" s="48">
        <v>41114</v>
      </c>
      <c r="Q599" s="48">
        <v>41298</v>
      </c>
      <c r="R599" s="49">
        <v>11128</v>
      </c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</row>
    <row r="600" spans="1:38" ht="51" x14ac:dyDescent="0.2">
      <c r="A600" s="45" t="s">
        <v>1837</v>
      </c>
      <c r="B600" s="45">
        <v>32611</v>
      </c>
      <c r="C600" s="50" t="s">
        <v>19</v>
      </c>
      <c r="D600" s="50" t="s">
        <v>1838</v>
      </c>
      <c r="E600" s="80" t="s">
        <v>308</v>
      </c>
      <c r="F600" s="50" t="s">
        <v>167</v>
      </c>
      <c r="G600" s="50" t="s">
        <v>1839</v>
      </c>
      <c r="H600" s="88">
        <v>21964.3</v>
      </c>
      <c r="I600" s="88"/>
      <c r="J600" s="89"/>
      <c r="K600" s="89"/>
      <c r="L600" s="89">
        <f t="shared" si="18"/>
        <v>21964.3</v>
      </c>
      <c r="M600" s="87">
        <f t="shared" si="19"/>
        <v>21964.3</v>
      </c>
      <c r="N600" s="89"/>
      <c r="O600" s="89"/>
      <c r="P600" s="48">
        <v>41108</v>
      </c>
      <c r="Q600" s="48">
        <v>41261</v>
      </c>
      <c r="R600" s="49">
        <v>10866</v>
      </c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</row>
    <row r="601" spans="1:38" ht="25.5" x14ac:dyDescent="0.2">
      <c r="A601" s="45" t="s">
        <v>1840</v>
      </c>
      <c r="B601" s="45">
        <v>32759</v>
      </c>
      <c r="C601" s="50" t="s">
        <v>19</v>
      </c>
      <c r="D601" s="50" t="s">
        <v>1841</v>
      </c>
      <c r="E601" s="80" t="s">
        <v>308</v>
      </c>
      <c r="F601" s="50" t="s">
        <v>167</v>
      </c>
      <c r="G601" s="50" t="s">
        <v>1842</v>
      </c>
      <c r="H601" s="88">
        <v>4406</v>
      </c>
      <c r="I601" s="88"/>
      <c r="J601" s="89"/>
      <c r="K601" s="89"/>
      <c r="L601" s="89">
        <f t="shared" si="18"/>
        <v>4406</v>
      </c>
      <c r="M601" s="87">
        <f t="shared" si="19"/>
        <v>4406</v>
      </c>
      <c r="N601" s="89"/>
      <c r="O601" s="89"/>
      <c r="P601" s="48">
        <v>41109</v>
      </c>
      <c r="Q601" s="48">
        <v>41293</v>
      </c>
      <c r="R601" s="49">
        <v>10868</v>
      </c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</row>
    <row r="602" spans="1:38" ht="25.5" x14ac:dyDescent="0.2">
      <c r="A602" s="45" t="s">
        <v>1843</v>
      </c>
      <c r="B602" s="45">
        <v>32828</v>
      </c>
      <c r="C602" s="50" t="s">
        <v>369</v>
      </c>
      <c r="D602" s="50" t="s">
        <v>1844</v>
      </c>
      <c r="E602" s="80" t="s">
        <v>308</v>
      </c>
      <c r="F602" s="50" t="s">
        <v>98</v>
      </c>
      <c r="G602" s="50" t="s">
        <v>1845</v>
      </c>
      <c r="H602" s="88">
        <v>1855</v>
      </c>
      <c r="I602" s="88"/>
      <c r="J602" s="89"/>
      <c r="K602" s="89"/>
      <c r="L602" s="89">
        <f t="shared" si="18"/>
        <v>1855</v>
      </c>
      <c r="M602" s="87">
        <f t="shared" si="19"/>
        <v>1855</v>
      </c>
      <c r="N602" s="89"/>
      <c r="O602" s="89"/>
      <c r="P602" s="48">
        <v>41114</v>
      </c>
      <c r="Q602" s="48">
        <v>40932</v>
      </c>
      <c r="R602" s="49">
        <v>10529</v>
      </c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</row>
    <row r="603" spans="1:38" ht="25.5" x14ac:dyDescent="0.2">
      <c r="A603" s="45" t="s">
        <v>1846</v>
      </c>
      <c r="B603" s="45">
        <v>32839</v>
      </c>
      <c r="C603" s="50" t="s">
        <v>369</v>
      </c>
      <c r="D603" s="50" t="s">
        <v>1847</v>
      </c>
      <c r="E603" s="80" t="s">
        <v>308</v>
      </c>
      <c r="F603" s="50" t="s">
        <v>98</v>
      </c>
      <c r="G603" s="50" t="s">
        <v>1848</v>
      </c>
      <c r="H603" s="88">
        <v>11850</v>
      </c>
      <c r="I603" s="88"/>
      <c r="J603" s="89"/>
      <c r="K603" s="89"/>
      <c r="L603" s="89">
        <f t="shared" si="18"/>
        <v>11850</v>
      </c>
      <c r="M603" s="87">
        <f t="shared" si="19"/>
        <v>11850</v>
      </c>
      <c r="N603" s="89"/>
      <c r="O603" s="89"/>
      <c r="P603" s="48">
        <v>41078</v>
      </c>
      <c r="Q603" s="48">
        <v>41261</v>
      </c>
      <c r="R603" s="49">
        <v>10563</v>
      </c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</row>
    <row r="604" spans="1:38" ht="38.25" x14ac:dyDescent="0.2">
      <c r="A604" s="45" t="s">
        <v>1849</v>
      </c>
      <c r="B604" s="45">
        <v>32779</v>
      </c>
      <c r="C604" s="50" t="s">
        <v>66</v>
      </c>
      <c r="D604" s="50" t="s">
        <v>1850</v>
      </c>
      <c r="E604" s="80" t="s">
        <v>308</v>
      </c>
      <c r="F604" s="50" t="s">
        <v>109</v>
      </c>
      <c r="G604" s="50" t="s">
        <v>1851</v>
      </c>
      <c r="H604" s="88">
        <v>10627</v>
      </c>
      <c r="I604" s="88"/>
      <c r="J604" s="89"/>
      <c r="K604" s="89"/>
      <c r="L604" s="89">
        <f t="shared" si="18"/>
        <v>10627</v>
      </c>
      <c r="M604" s="87">
        <f t="shared" si="19"/>
        <v>10627</v>
      </c>
      <c r="N604" s="89"/>
      <c r="O604" s="89"/>
      <c r="P604" s="48">
        <v>41122</v>
      </c>
      <c r="Q604" s="48">
        <v>41306</v>
      </c>
      <c r="R604" s="49">
        <v>10991</v>
      </c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</row>
    <row r="605" spans="1:38" ht="25.5" x14ac:dyDescent="0.2">
      <c r="A605" s="45" t="s">
        <v>1852</v>
      </c>
      <c r="B605" s="45">
        <v>32733</v>
      </c>
      <c r="C605" s="50" t="s">
        <v>66</v>
      </c>
      <c r="D605" s="50" t="s">
        <v>1853</v>
      </c>
      <c r="E605" s="80" t="s">
        <v>308</v>
      </c>
      <c r="F605" s="50" t="s">
        <v>167</v>
      </c>
      <c r="G605" s="50" t="s">
        <v>1854</v>
      </c>
      <c r="H605" s="88">
        <v>11570</v>
      </c>
      <c r="I605" s="88"/>
      <c r="J605" s="89"/>
      <c r="K605" s="89"/>
      <c r="L605" s="89">
        <f t="shared" si="18"/>
        <v>11570</v>
      </c>
      <c r="M605" s="87">
        <f t="shared" si="19"/>
        <v>11570</v>
      </c>
      <c r="N605" s="89"/>
      <c r="O605" s="89"/>
      <c r="P605" s="48">
        <v>41124</v>
      </c>
      <c r="Q605" s="48">
        <v>41308</v>
      </c>
      <c r="R605" s="49">
        <v>11017</v>
      </c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</row>
    <row r="606" spans="1:38" ht="25.5" x14ac:dyDescent="0.2">
      <c r="A606" s="45" t="s">
        <v>1855</v>
      </c>
      <c r="B606" s="45">
        <v>32931</v>
      </c>
      <c r="C606" s="50" t="s">
        <v>574</v>
      </c>
      <c r="D606" s="50" t="s">
        <v>1856</v>
      </c>
      <c r="E606" s="80" t="s">
        <v>308</v>
      </c>
      <c r="F606" s="50" t="s">
        <v>45</v>
      </c>
      <c r="G606" s="50" t="s">
        <v>1857</v>
      </c>
      <c r="H606" s="88">
        <v>3134.5</v>
      </c>
      <c r="I606" s="88"/>
      <c r="J606" s="89"/>
      <c r="K606" s="89"/>
      <c r="L606" s="89">
        <f t="shared" si="18"/>
        <v>3134.5</v>
      </c>
      <c r="M606" s="87">
        <f t="shared" si="19"/>
        <v>3134.5</v>
      </c>
      <c r="N606" s="89"/>
      <c r="O606" s="89"/>
      <c r="P606" s="48">
        <v>41124</v>
      </c>
      <c r="Q606" s="48">
        <v>41336</v>
      </c>
      <c r="R606" s="49">
        <v>11016</v>
      </c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</row>
    <row r="607" spans="1:38" ht="25.5" x14ac:dyDescent="0.2">
      <c r="A607" s="45" t="s">
        <v>1858</v>
      </c>
      <c r="B607" s="45">
        <v>32998</v>
      </c>
      <c r="C607" s="50" t="s">
        <v>53</v>
      </c>
      <c r="D607" s="50" t="s">
        <v>1859</v>
      </c>
      <c r="E607" s="80" t="s">
        <v>308</v>
      </c>
      <c r="F607" s="50" t="s">
        <v>167</v>
      </c>
      <c r="G607" s="50" t="s">
        <v>1860</v>
      </c>
      <c r="H607" s="88">
        <v>15000</v>
      </c>
      <c r="I607" s="88"/>
      <c r="J607" s="89"/>
      <c r="K607" s="89"/>
      <c r="L607" s="89">
        <f t="shared" si="18"/>
        <v>15000</v>
      </c>
      <c r="M607" s="87">
        <f t="shared" si="19"/>
        <v>15000</v>
      </c>
      <c r="N607" s="89"/>
      <c r="O607" s="89"/>
      <c r="P607" s="48">
        <v>41138</v>
      </c>
      <c r="Q607" s="48">
        <v>41322</v>
      </c>
      <c r="R607" s="49">
        <v>11090</v>
      </c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</row>
    <row r="608" spans="1:38" ht="25.5" x14ac:dyDescent="0.2">
      <c r="A608" s="45" t="s">
        <v>1861</v>
      </c>
      <c r="B608" s="45">
        <v>1660</v>
      </c>
      <c r="C608" s="50" t="s">
        <v>478</v>
      </c>
      <c r="D608" s="50" t="s">
        <v>1862</v>
      </c>
      <c r="E608" s="80" t="s">
        <v>308</v>
      </c>
      <c r="F608" s="50" t="s">
        <v>167</v>
      </c>
      <c r="G608" s="50" t="s">
        <v>1863</v>
      </c>
      <c r="H608" s="88">
        <v>10542.8</v>
      </c>
      <c r="I608" s="88"/>
      <c r="J608" s="89"/>
      <c r="K608" s="89"/>
      <c r="L608" s="89">
        <f t="shared" si="18"/>
        <v>10542.8</v>
      </c>
      <c r="M608" s="87">
        <f t="shared" si="19"/>
        <v>10542.8</v>
      </c>
      <c r="N608" s="89"/>
      <c r="O608" s="89"/>
      <c r="P608" s="48">
        <v>41109</v>
      </c>
      <c r="Q608" s="48">
        <v>41293</v>
      </c>
      <c r="R608" s="49">
        <v>10462</v>
      </c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</row>
    <row r="609" spans="1:38" ht="25.5" x14ac:dyDescent="0.2">
      <c r="A609" s="45" t="s">
        <v>1864</v>
      </c>
      <c r="B609" s="45">
        <v>32820</v>
      </c>
      <c r="C609" s="50" t="s">
        <v>238</v>
      </c>
      <c r="D609" s="50" t="s">
        <v>1865</v>
      </c>
      <c r="E609" s="80" t="s">
        <v>308</v>
      </c>
      <c r="F609" s="50" t="s">
        <v>98</v>
      </c>
      <c r="G609" s="50" t="s">
        <v>1866</v>
      </c>
      <c r="H609" s="88">
        <v>16640</v>
      </c>
      <c r="I609" s="88"/>
      <c r="J609" s="89"/>
      <c r="K609" s="89"/>
      <c r="L609" s="89">
        <f t="shared" si="18"/>
        <v>16640</v>
      </c>
      <c r="M609" s="87">
        <f t="shared" si="19"/>
        <v>16640</v>
      </c>
      <c r="N609" s="89"/>
      <c r="O609" s="89"/>
      <c r="P609" s="48">
        <v>41108</v>
      </c>
      <c r="Q609" s="48">
        <v>41292</v>
      </c>
      <c r="R609" s="49">
        <v>10564</v>
      </c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</row>
    <row r="610" spans="1:38" ht="63.75" x14ac:dyDescent="0.2">
      <c r="A610" s="45" t="s">
        <v>1867</v>
      </c>
      <c r="B610" s="45">
        <v>32610</v>
      </c>
      <c r="C610" s="50" t="s">
        <v>43</v>
      </c>
      <c r="D610" s="50" t="s">
        <v>1868</v>
      </c>
      <c r="E610" s="80" t="s">
        <v>308</v>
      </c>
      <c r="F610" s="50" t="s">
        <v>98</v>
      </c>
      <c r="G610" s="50" t="s">
        <v>1869</v>
      </c>
      <c r="H610" s="88">
        <v>10917</v>
      </c>
      <c r="I610" s="88"/>
      <c r="J610" s="89"/>
      <c r="K610" s="89"/>
      <c r="L610" s="89">
        <f t="shared" si="18"/>
        <v>10917</v>
      </c>
      <c r="M610" s="87">
        <f t="shared" si="19"/>
        <v>10917</v>
      </c>
      <c r="N610" s="89"/>
      <c r="O610" s="89"/>
      <c r="P610" s="48">
        <v>41088</v>
      </c>
      <c r="Q610" s="48">
        <v>41818</v>
      </c>
      <c r="R610" s="49">
        <v>10904</v>
      </c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</row>
    <row r="611" spans="1:38" ht="38.25" x14ac:dyDescent="0.2">
      <c r="A611" s="45" t="s">
        <v>1870</v>
      </c>
      <c r="B611" s="45">
        <v>23937</v>
      </c>
      <c r="C611" s="50" t="s">
        <v>19</v>
      </c>
      <c r="D611" s="50" t="s">
        <v>1871</v>
      </c>
      <c r="E611" s="80" t="s">
        <v>21</v>
      </c>
      <c r="F611" s="50" t="s">
        <v>167</v>
      </c>
      <c r="G611" s="50" t="s">
        <v>1872</v>
      </c>
      <c r="H611" s="88">
        <v>1950</v>
      </c>
      <c r="I611" s="88"/>
      <c r="J611" s="89"/>
      <c r="K611" s="89"/>
      <c r="L611" s="89">
        <f t="shared" si="18"/>
        <v>1950</v>
      </c>
      <c r="M611" s="87">
        <f t="shared" si="19"/>
        <v>1950</v>
      </c>
      <c r="N611" s="89"/>
      <c r="O611" s="89"/>
      <c r="P611" s="48">
        <v>41109</v>
      </c>
      <c r="Q611" s="48">
        <v>41232</v>
      </c>
      <c r="R611" s="49">
        <v>10871</v>
      </c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</row>
    <row r="612" spans="1:38" ht="36" customHeight="1" x14ac:dyDescent="0.2">
      <c r="A612" s="45" t="s">
        <v>1873</v>
      </c>
      <c r="B612" s="45" t="s">
        <v>1487</v>
      </c>
      <c r="C612" s="50" t="s">
        <v>1135</v>
      </c>
      <c r="D612" s="50" t="s">
        <v>1874</v>
      </c>
      <c r="E612" s="80" t="s">
        <v>1875</v>
      </c>
      <c r="F612" s="50" t="s">
        <v>87</v>
      </c>
      <c r="G612" s="50" t="s">
        <v>1876</v>
      </c>
      <c r="H612" s="88">
        <v>3411.5</v>
      </c>
      <c r="I612" s="88"/>
      <c r="J612" s="89"/>
      <c r="K612" s="89">
        <v>4170</v>
      </c>
      <c r="L612" s="89">
        <f t="shared" si="18"/>
        <v>7581.5</v>
      </c>
      <c r="M612" s="87">
        <f t="shared" si="19"/>
        <v>7581.5</v>
      </c>
      <c r="N612" s="89"/>
      <c r="O612" s="89"/>
      <c r="P612" s="48">
        <v>41117</v>
      </c>
      <c r="Q612" s="48">
        <v>41482</v>
      </c>
      <c r="R612" s="49">
        <v>10498</v>
      </c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</row>
    <row r="613" spans="1:38" ht="38.25" x14ac:dyDescent="0.2">
      <c r="A613" s="45" t="s">
        <v>1877</v>
      </c>
      <c r="B613" s="45">
        <v>25962</v>
      </c>
      <c r="C613" s="50" t="s">
        <v>43</v>
      </c>
      <c r="D613" s="50" t="s">
        <v>1878</v>
      </c>
      <c r="E613" s="80" t="s">
        <v>21</v>
      </c>
      <c r="F613" s="50" t="s">
        <v>98</v>
      </c>
      <c r="G613" s="50" t="s">
        <v>1879</v>
      </c>
      <c r="H613" s="88">
        <v>1650</v>
      </c>
      <c r="I613" s="88"/>
      <c r="J613" s="89"/>
      <c r="K613" s="89"/>
      <c r="L613" s="89">
        <f t="shared" si="18"/>
        <v>1650</v>
      </c>
      <c r="M613" s="87">
        <f t="shared" si="19"/>
        <v>1650</v>
      </c>
      <c r="N613" s="89"/>
      <c r="O613" s="89"/>
      <c r="P613" s="48">
        <v>41153</v>
      </c>
      <c r="Q613" s="48">
        <v>41394</v>
      </c>
      <c r="R613" s="49">
        <v>11335</v>
      </c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</row>
    <row r="614" spans="1:38" ht="38.25" x14ac:dyDescent="0.2">
      <c r="A614" s="45" t="s">
        <v>1880</v>
      </c>
      <c r="B614" s="45">
        <v>24932</v>
      </c>
      <c r="C614" s="50" t="s">
        <v>43</v>
      </c>
      <c r="D614" s="50" t="s">
        <v>1881</v>
      </c>
      <c r="E614" s="80" t="s">
        <v>21</v>
      </c>
      <c r="F614" s="50" t="s">
        <v>109</v>
      </c>
      <c r="G614" s="50" t="s">
        <v>1882</v>
      </c>
      <c r="H614" s="88">
        <v>5836.4</v>
      </c>
      <c r="I614" s="88"/>
      <c r="J614" s="89"/>
      <c r="K614" s="89"/>
      <c r="L614" s="89">
        <f t="shared" si="18"/>
        <v>5836.4</v>
      </c>
      <c r="M614" s="87">
        <f t="shared" si="19"/>
        <v>5836.4</v>
      </c>
      <c r="N614" s="89"/>
      <c r="O614" s="89"/>
      <c r="P614" s="48">
        <v>41124</v>
      </c>
      <c r="Q614" s="48">
        <v>41363</v>
      </c>
      <c r="R614" s="49">
        <v>10907</v>
      </c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</row>
    <row r="615" spans="1:38" ht="38.25" x14ac:dyDescent="0.2">
      <c r="A615" s="45" t="s">
        <v>1883</v>
      </c>
      <c r="B615" s="45">
        <v>25563</v>
      </c>
      <c r="C615" s="50" t="s">
        <v>319</v>
      </c>
      <c r="D615" s="50" t="s">
        <v>1884</v>
      </c>
      <c r="E615" s="80" t="s">
        <v>21</v>
      </c>
      <c r="F615" s="50" t="s">
        <v>94</v>
      </c>
      <c r="G615" s="50" t="s">
        <v>1885</v>
      </c>
      <c r="H615" s="88">
        <v>4850</v>
      </c>
      <c r="I615" s="88"/>
      <c r="J615" s="89"/>
      <c r="K615" s="89"/>
      <c r="L615" s="89">
        <f t="shared" si="18"/>
        <v>4850</v>
      </c>
      <c r="M615" s="87">
        <f t="shared" si="19"/>
        <v>4850</v>
      </c>
      <c r="N615" s="89"/>
      <c r="O615" s="89"/>
      <c r="P615" s="48">
        <v>41124</v>
      </c>
      <c r="Q615" s="48">
        <v>41246</v>
      </c>
      <c r="R615" s="49">
        <v>10983</v>
      </c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</row>
    <row r="616" spans="1:38" ht="38.25" x14ac:dyDescent="0.2">
      <c r="A616" s="45" t="s">
        <v>1886</v>
      </c>
      <c r="B616" s="45">
        <v>25935</v>
      </c>
      <c r="C616" s="50" t="s">
        <v>66</v>
      </c>
      <c r="D616" s="50" t="s">
        <v>1887</v>
      </c>
      <c r="E616" s="80" t="s">
        <v>21</v>
      </c>
      <c r="F616" s="50" t="s">
        <v>87</v>
      </c>
      <c r="G616" s="50" t="s">
        <v>1888</v>
      </c>
      <c r="H616" s="88">
        <v>5960</v>
      </c>
      <c r="I616" s="88"/>
      <c r="J616" s="89"/>
      <c r="K616" s="89"/>
      <c r="L616" s="89">
        <f t="shared" si="18"/>
        <v>5960</v>
      </c>
      <c r="M616" s="87">
        <f t="shared" si="19"/>
        <v>5960</v>
      </c>
      <c r="N616" s="89"/>
      <c r="O616" s="89"/>
      <c r="P616" s="48">
        <v>41110</v>
      </c>
      <c r="Q616" s="48">
        <v>41233</v>
      </c>
      <c r="R616" s="49">
        <v>10472</v>
      </c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</row>
    <row r="617" spans="1:38" ht="38.25" x14ac:dyDescent="0.2">
      <c r="A617" s="45" t="s">
        <v>1889</v>
      </c>
      <c r="B617" s="45">
        <v>14937</v>
      </c>
      <c r="C617" s="50" t="s">
        <v>66</v>
      </c>
      <c r="D617" s="50" t="s">
        <v>1890</v>
      </c>
      <c r="E617" s="80" t="s">
        <v>21</v>
      </c>
      <c r="F617" s="50" t="s">
        <v>398</v>
      </c>
      <c r="G617" s="50" t="s">
        <v>1891</v>
      </c>
      <c r="H617" s="88">
        <v>1080</v>
      </c>
      <c r="I617" s="88"/>
      <c r="J617" s="89"/>
      <c r="K617" s="89"/>
      <c r="L617" s="89">
        <f t="shared" si="18"/>
        <v>1080</v>
      </c>
      <c r="M617" s="87">
        <f t="shared" si="19"/>
        <v>1080</v>
      </c>
      <c r="N617" s="89"/>
      <c r="O617" s="89"/>
      <c r="P617" s="48">
        <v>41110</v>
      </c>
      <c r="Q617" s="48">
        <v>41233</v>
      </c>
      <c r="R617" s="49">
        <v>10467</v>
      </c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</row>
    <row r="618" spans="1:38" ht="25.5" x14ac:dyDescent="0.2">
      <c r="A618" s="45" t="s">
        <v>1892</v>
      </c>
      <c r="B618" s="64">
        <v>33000</v>
      </c>
      <c r="C618" s="50" t="s">
        <v>369</v>
      </c>
      <c r="D618" s="50" t="s">
        <v>1893</v>
      </c>
      <c r="E618" s="50" t="s">
        <v>308</v>
      </c>
      <c r="F618" s="50" t="s">
        <v>87</v>
      </c>
      <c r="G618" s="50" t="s">
        <v>1894</v>
      </c>
      <c r="H618" s="88">
        <v>12005</v>
      </c>
      <c r="I618" s="88"/>
      <c r="J618" s="89"/>
      <c r="K618" s="89"/>
      <c r="L618" s="89">
        <f t="shared" si="18"/>
        <v>12005</v>
      </c>
      <c r="M618" s="87">
        <f t="shared" si="19"/>
        <v>12005</v>
      </c>
      <c r="N618" s="89"/>
      <c r="O618" s="89"/>
      <c r="P618" s="48">
        <v>41197</v>
      </c>
      <c r="Q618" s="48">
        <v>41379</v>
      </c>
      <c r="R618" s="49">
        <v>11949</v>
      </c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</row>
    <row r="619" spans="1:38" ht="38.25" x14ac:dyDescent="0.2">
      <c r="A619" s="45" t="s">
        <v>1895</v>
      </c>
      <c r="B619" s="45">
        <v>26010</v>
      </c>
      <c r="C619" s="50" t="s">
        <v>35</v>
      </c>
      <c r="D619" s="50" t="s">
        <v>1896</v>
      </c>
      <c r="E619" s="80" t="s">
        <v>21</v>
      </c>
      <c r="F619" s="50" t="s">
        <v>94</v>
      </c>
      <c r="G619" s="50" t="s">
        <v>1897</v>
      </c>
      <c r="H619" s="88">
        <v>5736.4</v>
      </c>
      <c r="I619" s="88"/>
      <c r="J619" s="89"/>
      <c r="K619" s="89"/>
      <c r="L619" s="89">
        <f t="shared" si="18"/>
        <v>5736.4</v>
      </c>
      <c r="M619" s="87">
        <f t="shared" si="19"/>
        <v>5736.4</v>
      </c>
      <c r="N619" s="89"/>
      <c r="O619" s="89"/>
      <c r="P619" s="48">
        <v>41110</v>
      </c>
      <c r="Q619" s="48">
        <v>41233</v>
      </c>
      <c r="R619" s="49">
        <v>10477</v>
      </c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</row>
    <row r="620" spans="1:38" ht="38.25" x14ac:dyDescent="0.2">
      <c r="A620" s="45" t="s">
        <v>1898</v>
      </c>
      <c r="B620" s="45">
        <v>25986</v>
      </c>
      <c r="C620" s="50" t="s">
        <v>263</v>
      </c>
      <c r="D620" s="50" t="s">
        <v>1899</v>
      </c>
      <c r="E620" s="80" t="s">
        <v>21</v>
      </c>
      <c r="F620" s="50" t="s">
        <v>87</v>
      </c>
      <c r="G620" s="50" t="s">
        <v>1900</v>
      </c>
      <c r="H620" s="88">
        <v>5860</v>
      </c>
      <c r="I620" s="88"/>
      <c r="J620" s="89"/>
      <c r="K620" s="89"/>
      <c r="L620" s="89">
        <f t="shared" si="18"/>
        <v>5860</v>
      </c>
      <c r="M620" s="87">
        <f t="shared" si="19"/>
        <v>5860</v>
      </c>
      <c r="N620" s="89"/>
      <c r="O620" s="89"/>
      <c r="P620" s="48">
        <v>41110</v>
      </c>
      <c r="Q620" s="48">
        <v>41233</v>
      </c>
      <c r="R620" s="49">
        <v>10939</v>
      </c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</row>
    <row r="621" spans="1:38" ht="38.25" x14ac:dyDescent="0.2">
      <c r="A621" s="45" t="s">
        <v>1901</v>
      </c>
      <c r="B621" s="45">
        <v>25958</v>
      </c>
      <c r="C621" s="50" t="s">
        <v>414</v>
      </c>
      <c r="D621" s="50" t="s">
        <v>415</v>
      </c>
      <c r="E621" s="80" t="s">
        <v>21</v>
      </c>
      <c r="F621" s="50" t="s">
        <v>26</v>
      </c>
      <c r="G621" s="50" t="s">
        <v>1902</v>
      </c>
      <c r="H621" s="88">
        <v>2090</v>
      </c>
      <c r="I621" s="88"/>
      <c r="J621" s="89"/>
      <c r="K621" s="89"/>
      <c r="L621" s="89">
        <f t="shared" si="18"/>
        <v>2090</v>
      </c>
      <c r="M621" s="87">
        <f t="shared" si="19"/>
        <v>2090</v>
      </c>
      <c r="N621" s="89"/>
      <c r="O621" s="89"/>
      <c r="P621" s="48">
        <v>41110</v>
      </c>
      <c r="Q621" s="48">
        <v>41233</v>
      </c>
      <c r="R621" s="49">
        <v>11026</v>
      </c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</row>
    <row r="622" spans="1:38" ht="38.25" x14ac:dyDescent="0.2">
      <c r="A622" s="45" t="s">
        <v>1903</v>
      </c>
      <c r="B622" s="45">
        <v>25957</v>
      </c>
      <c r="C622" s="50" t="s">
        <v>414</v>
      </c>
      <c r="D622" s="50" t="s">
        <v>1904</v>
      </c>
      <c r="E622" s="80" t="s">
        <v>21</v>
      </c>
      <c r="F622" s="50" t="s">
        <v>98</v>
      </c>
      <c r="G622" s="50" t="s">
        <v>1902</v>
      </c>
      <c r="H622" s="88">
        <v>2090</v>
      </c>
      <c r="I622" s="88"/>
      <c r="J622" s="89"/>
      <c r="K622" s="89"/>
      <c r="L622" s="89">
        <f t="shared" si="18"/>
        <v>2090</v>
      </c>
      <c r="M622" s="87">
        <f t="shared" si="19"/>
        <v>2090</v>
      </c>
      <c r="N622" s="89"/>
      <c r="O622" s="89"/>
      <c r="P622" s="48">
        <v>41110</v>
      </c>
      <c r="Q622" s="48">
        <v>41233</v>
      </c>
      <c r="R622" s="49">
        <v>11023</v>
      </c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</row>
    <row r="623" spans="1:38" ht="38.25" x14ac:dyDescent="0.2">
      <c r="A623" s="45" t="s">
        <v>1905</v>
      </c>
      <c r="B623" s="45">
        <v>25622</v>
      </c>
      <c r="C623" s="50" t="s">
        <v>414</v>
      </c>
      <c r="D623" s="50" t="s">
        <v>1906</v>
      </c>
      <c r="E623" s="80" t="s">
        <v>21</v>
      </c>
      <c r="F623" s="50" t="s">
        <v>22</v>
      </c>
      <c r="G623" s="50" t="s">
        <v>1907</v>
      </c>
      <c r="H623" s="88">
        <v>1350</v>
      </c>
      <c r="I623" s="88"/>
      <c r="J623" s="89"/>
      <c r="K623" s="89"/>
      <c r="L623" s="89">
        <f t="shared" si="18"/>
        <v>1350</v>
      </c>
      <c r="M623" s="87">
        <f t="shared" si="19"/>
        <v>1350</v>
      </c>
      <c r="N623" s="89"/>
      <c r="O623" s="89"/>
      <c r="P623" s="48">
        <v>41110</v>
      </c>
      <c r="Q623" s="48">
        <v>40867</v>
      </c>
      <c r="R623" s="49">
        <v>11042</v>
      </c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</row>
    <row r="624" spans="1:38" ht="38.25" x14ac:dyDescent="0.2">
      <c r="A624" s="45" t="s">
        <v>1908</v>
      </c>
      <c r="B624" s="45">
        <v>25917</v>
      </c>
      <c r="C624" s="50" t="s">
        <v>369</v>
      </c>
      <c r="D624" s="50" t="s">
        <v>1909</v>
      </c>
      <c r="E624" s="80" t="s">
        <v>21</v>
      </c>
      <c r="F624" s="50" t="s">
        <v>63</v>
      </c>
      <c r="G624" s="50" t="s">
        <v>1910</v>
      </c>
      <c r="H624" s="88">
        <v>4422</v>
      </c>
      <c r="I624" s="88"/>
      <c r="J624" s="89"/>
      <c r="K624" s="89"/>
      <c r="L624" s="89">
        <f t="shared" si="18"/>
        <v>4422</v>
      </c>
      <c r="M624" s="87">
        <f t="shared" si="19"/>
        <v>4422</v>
      </c>
      <c r="N624" s="89"/>
      <c r="O624" s="89"/>
      <c r="P624" s="48">
        <v>41114</v>
      </c>
      <c r="Q624" s="48">
        <v>41237</v>
      </c>
      <c r="R624" s="49">
        <v>10526</v>
      </c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</row>
    <row r="625" spans="1:38" ht="38.25" x14ac:dyDescent="0.2">
      <c r="A625" s="45" t="s">
        <v>1911</v>
      </c>
      <c r="B625" s="45">
        <v>25964</v>
      </c>
      <c r="C625" s="50" t="s">
        <v>369</v>
      </c>
      <c r="D625" s="50" t="s">
        <v>1912</v>
      </c>
      <c r="E625" s="80" t="s">
        <v>21</v>
      </c>
      <c r="F625" s="50" t="s">
        <v>63</v>
      </c>
      <c r="G625" s="50" t="s">
        <v>1913</v>
      </c>
      <c r="H625" s="88">
        <v>4999</v>
      </c>
      <c r="I625" s="88"/>
      <c r="J625" s="89"/>
      <c r="K625" s="89"/>
      <c r="L625" s="89">
        <f t="shared" si="18"/>
        <v>4999</v>
      </c>
      <c r="M625" s="87">
        <f t="shared" si="19"/>
        <v>4999</v>
      </c>
      <c r="N625" s="89"/>
      <c r="O625" s="89"/>
      <c r="P625" s="48">
        <v>41114</v>
      </c>
      <c r="Q625" s="48">
        <v>41237</v>
      </c>
      <c r="R625" s="49">
        <v>10527</v>
      </c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</row>
    <row r="626" spans="1:38" ht="38.25" x14ac:dyDescent="0.2">
      <c r="A626" s="45" t="s">
        <v>1914</v>
      </c>
      <c r="B626" s="45">
        <v>22739</v>
      </c>
      <c r="C626" s="50" t="s">
        <v>1135</v>
      </c>
      <c r="D626" s="50" t="s">
        <v>1915</v>
      </c>
      <c r="E626" s="80" t="s">
        <v>21</v>
      </c>
      <c r="F626" s="50" t="s">
        <v>167</v>
      </c>
      <c r="G626" s="50" t="s">
        <v>1916</v>
      </c>
      <c r="H626" s="88">
        <v>1920</v>
      </c>
      <c r="I626" s="88"/>
      <c r="J626" s="89"/>
      <c r="K626" s="89"/>
      <c r="L626" s="89">
        <f t="shared" si="18"/>
        <v>1920</v>
      </c>
      <c r="M626" s="87">
        <f t="shared" si="19"/>
        <v>1920</v>
      </c>
      <c r="N626" s="89"/>
      <c r="O626" s="89"/>
      <c r="P626" s="48">
        <v>41122</v>
      </c>
      <c r="Q626" s="48">
        <v>41244</v>
      </c>
      <c r="R626" s="49">
        <v>11041</v>
      </c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</row>
    <row r="627" spans="1:38" ht="38.25" x14ac:dyDescent="0.2">
      <c r="A627" s="45" t="s">
        <v>1917</v>
      </c>
      <c r="B627" s="45">
        <v>23983</v>
      </c>
      <c r="C627" s="50" t="s">
        <v>1135</v>
      </c>
      <c r="D627" s="50" t="s">
        <v>1136</v>
      </c>
      <c r="E627" s="80" t="s">
        <v>21</v>
      </c>
      <c r="F627" s="50" t="s">
        <v>63</v>
      </c>
      <c r="G627" s="50" t="s">
        <v>1918</v>
      </c>
      <c r="H627" s="88">
        <v>974.89</v>
      </c>
      <c r="I627" s="88"/>
      <c r="J627" s="89"/>
      <c r="K627" s="89"/>
      <c r="L627" s="89">
        <f t="shared" si="18"/>
        <v>974.89</v>
      </c>
      <c r="M627" s="87">
        <f t="shared" si="19"/>
        <v>974.89</v>
      </c>
      <c r="N627" s="89"/>
      <c r="O627" s="89"/>
      <c r="P627" s="48">
        <v>41117</v>
      </c>
      <c r="Q627" s="48">
        <v>41240</v>
      </c>
      <c r="R627" s="49">
        <v>10885</v>
      </c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</row>
    <row r="628" spans="1:38" ht="38.25" x14ac:dyDescent="0.2">
      <c r="A628" s="45" t="s">
        <v>1919</v>
      </c>
      <c r="B628" s="45">
        <v>26011</v>
      </c>
      <c r="C628" s="50" t="s">
        <v>1129</v>
      </c>
      <c r="D628" s="50" t="s">
        <v>1920</v>
      </c>
      <c r="E628" s="80" t="s">
        <v>21</v>
      </c>
      <c r="F628" s="50" t="s">
        <v>63</v>
      </c>
      <c r="G628" s="50" t="s">
        <v>1921</v>
      </c>
      <c r="H628" s="88">
        <v>1640</v>
      </c>
      <c r="I628" s="88"/>
      <c r="J628" s="89"/>
      <c r="K628" s="89"/>
      <c r="L628" s="89">
        <f t="shared" si="18"/>
        <v>1640</v>
      </c>
      <c r="M628" s="87">
        <f t="shared" si="19"/>
        <v>1640</v>
      </c>
      <c r="N628" s="89"/>
      <c r="O628" s="89"/>
      <c r="P628" s="48">
        <v>41134</v>
      </c>
      <c r="Q628" s="48">
        <v>41256</v>
      </c>
      <c r="R628" s="49">
        <v>11067</v>
      </c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</row>
    <row r="629" spans="1:38" ht="38.25" x14ac:dyDescent="0.2">
      <c r="A629" s="45" t="s">
        <v>1922</v>
      </c>
      <c r="B629" s="45">
        <v>21803</v>
      </c>
      <c r="C629" s="50" t="s">
        <v>19</v>
      </c>
      <c r="D629" s="50" t="s">
        <v>1923</v>
      </c>
      <c r="E629" s="80" t="s">
        <v>21</v>
      </c>
      <c r="F629" s="50" t="s">
        <v>71</v>
      </c>
      <c r="G629" s="50" t="s">
        <v>1924</v>
      </c>
      <c r="H629" s="88">
        <v>1780</v>
      </c>
      <c r="I629" s="88"/>
      <c r="J629" s="89"/>
      <c r="K629" s="89"/>
      <c r="L629" s="89">
        <f t="shared" si="18"/>
        <v>1780</v>
      </c>
      <c r="M629" s="87">
        <f t="shared" si="19"/>
        <v>1780</v>
      </c>
      <c r="N629" s="89"/>
      <c r="O629" s="89"/>
      <c r="P629" s="48">
        <v>41122</v>
      </c>
      <c r="Q629" s="48">
        <v>41244</v>
      </c>
      <c r="R629" s="49">
        <v>11039</v>
      </c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</row>
    <row r="630" spans="1:38" ht="38.25" x14ac:dyDescent="0.2">
      <c r="A630" s="45" t="s">
        <v>1925</v>
      </c>
      <c r="B630" s="45">
        <v>26004</v>
      </c>
      <c r="C630" s="50" t="s">
        <v>19</v>
      </c>
      <c r="D630" s="50" t="s">
        <v>1926</v>
      </c>
      <c r="E630" s="80" t="s">
        <v>21</v>
      </c>
      <c r="F630" s="50" t="s">
        <v>26</v>
      </c>
      <c r="G630" s="50" t="s">
        <v>1927</v>
      </c>
      <c r="H630" s="88">
        <v>1258</v>
      </c>
      <c r="I630" s="88"/>
      <c r="J630" s="89"/>
      <c r="K630" s="89"/>
      <c r="L630" s="89">
        <f t="shared" si="18"/>
        <v>1258</v>
      </c>
      <c r="M630" s="87">
        <f t="shared" si="19"/>
        <v>1258</v>
      </c>
      <c r="N630" s="89"/>
      <c r="O630" s="89"/>
      <c r="P630" s="48">
        <v>41122</v>
      </c>
      <c r="Q630" s="48">
        <v>41244</v>
      </c>
      <c r="R630" s="49">
        <v>10957</v>
      </c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</row>
    <row r="631" spans="1:38" ht="38.25" x14ac:dyDescent="0.2">
      <c r="A631" s="45" t="s">
        <v>1928</v>
      </c>
      <c r="B631" s="45">
        <v>25926</v>
      </c>
      <c r="C631" s="50" t="s">
        <v>19</v>
      </c>
      <c r="D631" s="50" t="s">
        <v>805</v>
      </c>
      <c r="E631" s="80" t="s">
        <v>21</v>
      </c>
      <c r="F631" s="50" t="s">
        <v>167</v>
      </c>
      <c r="G631" s="50" t="s">
        <v>1929</v>
      </c>
      <c r="H631" s="88">
        <v>5960</v>
      </c>
      <c r="I631" s="88"/>
      <c r="J631" s="89"/>
      <c r="K631" s="89"/>
      <c r="L631" s="89">
        <f t="shared" si="18"/>
        <v>5960</v>
      </c>
      <c r="M631" s="87">
        <f t="shared" si="19"/>
        <v>5960</v>
      </c>
      <c r="N631" s="89"/>
      <c r="O631" s="89"/>
      <c r="P631" s="48">
        <v>41122</v>
      </c>
      <c r="Q631" s="48">
        <v>41244</v>
      </c>
      <c r="R631" s="49">
        <v>10955</v>
      </c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</row>
    <row r="632" spans="1:38" ht="38.25" x14ac:dyDescent="0.2">
      <c r="A632" s="45" t="s">
        <v>1930</v>
      </c>
      <c r="B632" s="45">
        <v>23136</v>
      </c>
      <c r="C632" s="50" t="s">
        <v>19</v>
      </c>
      <c r="D632" s="50" t="s">
        <v>848</v>
      </c>
      <c r="E632" s="80" t="s">
        <v>21</v>
      </c>
      <c r="F632" s="50" t="s">
        <v>63</v>
      </c>
      <c r="G632" s="50" t="s">
        <v>1931</v>
      </c>
      <c r="H632" s="88">
        <v>3584.2</v>
      </c>
      <c r="I632" s="88"/>
      <c r="J632" s="89"/>
      <c r="K632" s="89"/>
      <c r="L632" s="89">
        <f t="shared" si="18"/>
        <v>3584.2</v>
      </c>
      <c r="M632" s="87">
        <f t="shared" si="19"/>
        <v>3584.2</v>
      </c>
      <c r="N632" s="89"/>
      <c r="O632" s="89"/>
      <c r="P632" s="48">
        <v>41122</v>
      </c>
      <c r="Q632" s="48">
        <v>41244</v>
      </c>
      <c r="R632" s="49">
        <v>10953</v>
      </c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</row>
    <row r="633" spans="1:38" ht="51" x14ac:dyDescent="0.2">
      <c r="A633" s="45" t="s">
        <v>1932</v>
      </c>
      <c r="B633" s="45">
        <v>25456</v>
      </c>
      <c r="C633" s="50" t="s">
        <v>19</v>
      </c>
      <c r="D633" s="50" t="s">
        <v>1933</v>
      </c>
      <c r="E633" s="80" t="s">
        <v>21</v>
      </c>
      <c r="F633" s="50" t="s">
        <v>63</v>
      </c>
      <c r="G633" s="50" t="s">
        <v>1934</v>
      </c>
      <c r="H633" s="88">
        <v>600</v>
      </c>
      <c r="I633" s="88"/>
      <c r="J633" s="89"/>
      <c r="K633" s="89"/>
      <c r="L633" s="89">
        <f t="shared" si="18"/>
        <v>600</v>
      </c>
      <c r="M633" s="87">
        <f t="shared" si="19"/>
        <v>600</v>
      </c>
      <c r="N633" s="89"/>
      <c r="O633" s="89"/>
      <c r="P633" s="48">
        <v>41122</v>
      </c>
      <c r="Q633" s="48">
        <v>41244</v>
      </c>
      <c r="R633" s="49">
        <v>10952</v>
      </c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</row>
    <row r="634" spans="1:38" ht="25.5" x14ac:dyDescent="0.2">
      <c r="A634" s="45" t="s">
        <v>1935</v>
      </c>
      <c r="B634" s="64">
        <v>32912</v>
      </c>
      <c r="C634" s="50" t="s">
        <v>43</v>
      </c>
      <c r="D634" s="50" t="s">
        <v>1936</v>
      </c>
      <c r="E634" s="50" t="s">
        <v>308</v>
      </c>
      <c r="F634" s="50" t="s">
        <v>98</v>
      </c>
      <c r="G634" s="50" t="s">
        <v>1937</v>
      </c>
      <c r="H634" s="88">
        <v>7571</v>
      </c>
      <c r="I634" s="88"/>
      <c r="J634" s="89"/>
      <c r="K634" s="89"/>
      <c r="L634" s="89">
        <f t="shared" si="18"/>
        <v>7571</v>
      </c>
      <c r="M634" s="87">
        <f t="shared" si="19"/>
        <v>7571</v>
      </c>
      <c r="N634" s="89"/>
      <c r="O634" s="89"/>
      <c r="P634" s="48">
        <v>41198</v>
      </c>
      <c r="Q634" s="48">
        <v>41380</v>
      </c>
      <c r="R634" s="49">
        <v>11785</v>
      </c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</row>
    <row r="635" spans="1:38" ht="38.25" x14ac:dyDescent="0.2">
      <c r="A635" s="45" t="s">
        <v>1938</v>
      </c>
      <c r="B635" s="45">
        <v>25997</v>
      </c>
      <c r="C635" s="50" t="s">
        <v>19</v>
      </c>
      <c r="D635" s="50" t="s">
        <v>1939</v>
      </c>
      <c r="E635" s="80" t="s">
        <v>21</v>
      </c>
      <c r="F635" s="50" t="s">
        <v>94</v>
      </c>
      <c r="G635" s="50" t="s">
        <v>1940</v>
      </c>
      <c r="H635" s="88">
        <v>1040</v>
      </c>
      <c r="I635" s="88"/>
      <c r="J635" s="89"/>
      <c r="K635" s="89"/>
      <c r="L635" s="89">
        <f t="shared" si="18"/>
        <v>1040</v>
      </c>
      <c r="M635" s="87">
        <f t="shared" si="19"/>
        <v>1040</v>
      </c>
      <c r="N635" s="89"/>
      <c r="O635" s="89"/>
      <c r="P635" s="48">
        <v>41122</v>
      </c>
      <c r="Q635" s="48">
        <v>41244</v>
      </c>
      <c r="R635" s="49">
        <v>10947</v>
      </c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</row>
    <row r="636" spans="1:38" ht="51" x14ac:dyDescent="0.2">
      <c r="A636" s="45" t="s">
        <v>1941</v>
      </c>
      <c r="B636" s="45">
        <v>22217</v>
      </c>
      <c r="C636" s="50" t="s">
        <v>19</v>
      </c>
      <c r="D636" s="50" t="s">
        <v>1942</v>
      </c>
      <c r="E636" s="80" t="s">
        <v>21</v>
      </c>
      <c r="F636" s="50" t="s">
        <v>87</v>
      </c>
      <c r="G636" s="50" t="s">
        <v>1943</v>
      </c>
      <c r="H636" s="88">
        <v>1320</v>
      </c>
      <c r="I636" s="88"/>
      <c r="J636" s="89"/>
      <c r="K636" s="89"/>
      <c r="L636" s="89">
        <f t="shared" si="18"/>
        <v>1320</v>
      </c>
      <c r="M636" s="87">
        <f t="shared" si="19"/>
        <v>1320</v>
      </c>
      <c r="N636" s="89"/>
      <c r="O636" s="89"/>
      <c r="P636" s="48">
        <v>41122</v>
      </c>
      <c r="Q636" s="48">
        <v>41214</v>
      </c>
      <c r="R636" s="49">
        <v>10948</v>
      </c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</row>
    <row r="637" spans="1:38" ht="38.25" x14ac:dyDescent="0.2">
      <c r="A637" s="45" t="s">
        <v>1944</v>
      </c>
      <c r="B637" s="45">
        <v>25979</v>
      </c>
      <c r="C637" s="50" t="s">
        <v>319</v>
      </c>
      <c r="D637" s="50" t="s">
        <v>1945</v>
      </c>
      <c r="E637" s="80" t="s">
        <v>21</v>
      </c>
      <c r="F637" s="50" t="s">
        <v>94</v>
      </c>
      <c r="G637" s="50" t="s">
        <v>1946</v>
      </c>
      <c r="H637" s="88">
        <v>3658</v>
      </c>
      <c r="I637" s="88"/>
      <c r="J637" s="89"/>
      <c r="K637" s="89"/>
      <c r="L637" s="89">
        <f t="shared" si="18"/>
        <v>3658</v>
      </c>
      <c r="M637" s="87">
        <f t="shared" si="19"/>
        <v>3658</v>
      </c>
      <c r="N637" s="89"/>
      <c r="O637" s="89"/>
      <c r="P637" s="48">
        <v>41124</v>
      </c>
      <c r="Q637" s="48">
        <v>41216</v>
      </c>
      <c r="R637" s="49">
        <v>10949</v>
      </c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</row>
    <row r="638" spans="1:38" ht="38.25" x14ac:dyDescent="0.2">
      <c r="A638" s="45" t="s">
        <v>1947</v>
      </c>
      <c r="B638" s="45">
        <v>23414</v>
      </c>
      <c r="C638" s="50" t="s">
        <v>66</v>
      </c>
      <c r="D638" s="50" t="s">
        <v>1948</v>
      </c>
      <c r="E638" s="80" t="s">
        <v>21</v>
      </c>
      <c r="F638" s="50" t="s">
        <v>71</v>
      </c>
      <c r="G638" s="50" t="s">
        <v>1949</v>
      </c>
      <c r="H638" s="88">
        <v>2000</v>
      </c>
      <c r="I638" s="88"/>
      <c r="J638" s="89"/>
      <c r="K638" s="89"/>
      <c r="L638" s="89">
        <f t="shared" si="18"/>
        <v>2000</v>
      </c>
      <c r="M638" s="87">
        <f t="shared" si="19"/>
        <v>2000</v>
      </c>
      <c r="N638" s="89"/>
      <c r="O638" s="89"/>
      <c r="P638" s="48">
        <v>41114</v>
      </c>
      <c r="Q638" s="48">
        <v>41237</v>
      </c>
      <c r="R638" s="49">
        <v>10981</v>
      </c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</row>
    <row r="639" spans="1:38" ht="38.25" x14ac:dyDescent="0.2">
      <c r="A639" s="45" t="s">
        <v>1950</v>
      </c>
      <c r="B639" s="45">
        <v>19762</v>
      </c>
      <c r="C639" s="50" t="s">
        <v>507</v>
      </c>
      <c r="D639" s="50" t="s">
        <v>581</v>
      </c>
      <c r="E639" s="80" t="s">
        <v>21</v>
      </c>
      <c r="F639" s="50" t="s">
        <v>167</v>
      </c>
      <c r="G639" s="50" t="s">
        <v>1951</v>
      </c>
      <c r="H639" s="88">
        <v>1600</v>
      </c>
      <c r="I639" s="88"/>
      <c r="J639" s="89"/>
      <c r="K639" s="89"/>
      <c r="L639" s="89">
        <f t="shared" si="18"/>
        <v>1600</v>
      </c>
      <c r="M639" s="87">
        <f t="shared" si="19"/>
        <v>1600</v>
      </c>
      <c r="N639" s="89"/>
      <c r="O639" s="89"/>
      <c r="P639" s="48">
        <v>41124</v>
      </c>
      <c r="Q639" s="48">
        <v>41246</v>
      </c>
      <c r="R639" s="49">
        <v>10941</v>
      </c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</row>
    <row r="640" spans="1:38" ht="38.25" x14ac:dyDescent="0.2">
      <c r="A640" s="45" t="s">
        <v>1952</v>
      </c>
      <c r="B640" s="45">
        <v>25907</v>
      </c>
      <c r="C640" s="50" t="s">
        <v>19</v>
      </c>
      <c r="D640" s="50" t="s">
        <v>819</v>
      </c>
      <c r="E640" s="80" t="s">
        <v>21</v>
      </c>
      <c r="F640" s="50" t="s">
        <v>87</v>
      </c>
      <c r="G640" s="50" t="s">
        <v>1953</v>
      </c>
      <c r="H640" s="88">
        <v>5807.6</v>
      </c>
      <c r="I640" s="88"/>
      <c r="J640" s="89"/>
      <c r="K640" s="89"/>
      <c r="L640" s="89">
        <f t="shared" si="18"/>
        <v>5807.6</v>
      </c>
      <c r="M640" s="87">
        <f t="shared" si="19"/>
        <v>5807.6</v>
      </c>
      <c r="N640" s="89"/>
      <c r="O640" s="89"/>
      <c r="P640" s="48">
        <v>41122</v>
      </c>
      <c r="Q640" s="48">
        <v>41244</v>
      </c>
      <c r="R640" s="49">
        <v>10942</v>
      </c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</row>
    <row r="641" spans="1:38" ht="38.25" x14ac:dyDescent="0.2">
      <c r="A641" s="45" t="s">
        <v>1954</v>
      </c>
      <c r="B641" s="64">
        <v>11161</v>
      </c>
      <c r="C641" s="50" t="s">
        <v>66</v>
      </c>
      <c r="D641" s="50" t="s">
        <v>1955</v>
      </c>
      <c r="E641" s="80" t="s">
        <v>21</v>
      </c>
      <c r="F641" s="50" t="s">
        <v>167</v>
      </c>
      <c r="G641" s="50" t="s">
        <v>1956</v>
      </c>
      <c r="H641" s="88">
        <v>6000</v>
      </c>
      <c r="I641" s="88"/>
      <c r="J641" s="89"/>
      <c r="K641" s="89"/>
      <c r="L641" s="89">
        <f t="shared" si="18"/>
        <v>6000</v>
      </c>
      <c r="M641" s="87">
        <f t="shared" si="19"/>
        <v>6000</v>
      </c>
      <c r="N641" s="89"/>
      <c r="O641" s="89"/>
      <c r="P641" s="48">
        <v>41117</v>
      </c>
      <c r="Q641" s="48">
        <v>41240</v>
      </c>
      <c r="R641" s="49">
        <v>10951</v>
      </c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</row>
    <row r="642" spans="1:38" ht="38.25" x14ac:dyDescent="0.2">
      <c r="A642" s="45" t="s">
        <v>1957</v>
      </c>
      <c r="B642" s="45">
        <v>25922</v>
      </c>
      <c r="C642" s="50" t="s">
        <v>511</v>
      </c>
      <c r="D642" s="50" t="s">
        <v>1958</v>
      </c>
      <c r="E642" s="80" t="s">
        <v>21</v>
      </c>
      <c r="F642" s="50" t="s">
        <v>94</v>
      </c>
      <c r="G642" s="50" t="s">
        <v>1959</v>
      </c>
      <c r="H642" s="88">
        <v>1720</v>
      </c>
      <c r="I642" s="88"/>
      <c r="J642" s="89"/>
      <c r="K642" s="89"/>
      <c r="L642" s="89">
        <f t="shared" si="18"/>
        <v>1720</v>
      </c>
      <c r="M642" s="87">
        <f t="shared" si="19"/>
        <v>1720</v>
      </c>
      <c r="N642" s="89"/>
      <c r="O642" s="89"/>
      <c r="P642" s="48">
        <v>41170</v>
      </c>
      <c r="Q642" s="48">
        <v>41292</v>
      </c>
      <c r="R642" s="49">
        <v>11327</v>
      </c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</row>
    <row r="643" spans="1:38" ht="38.25" x14ac:dyDescent="0.2">
      <c r="A643" s="45" t="s">
        <v>1960</v>
      </c>
      <c r="B643" s="45">
        <v>25837</v>
      </c>
      <c r="C643" s="50" t="s">
        <v>35</v>
      </c>
      <c r="D643" s="50" t="s">
        <v>1961</v>
      </c>
      <c r="E643" s="80" t="s">
        <v>21</v>
      </c>
      <c r="F643" s="50" t="s">
        <v>94</v>
      </c>
      <c r="G643" s="50" t="s">
        <v>1962</v>
      </c>
      <c r="H643" s="88">
        <v>5867</v>
      </c>
      <c r="I643" s="88"/>
      <c r="J643" s="89"/>
      <c r="K643" s="89"/>
      <c r="L643" s="89">
        <f t="shared" si="18"/>
        <v>5867</v>
      </c>
      <c r="M643" s="87">
        <f t="shared" si="19"/>
        <v>5867</v>
      </c>
      <c r="N643" s="89"/>
      <c r="O643" s="89"/>
      <c r="P643" s="48">
        <v>41120</v>
      </c>
      <c r="Q643" s="68">
        <v>41243</v>
      </c>
      <c r="R643" s="49">
        <v>10530</v>
      </c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</row>
    <row r="644" spans="1:38" ht="38.25" x14ac:dyDescent="0.2">
      <c r="A644" s="45" t="s">
        <v>1963</v>
      </c>
      <c r="B644" s="45">
        <v>26009</v>
      </c>
      <c r="C644" s="50" t="s">
        <v>66</v>
      </c>
      <c r="D644" s="50" t="s">
        <v>136</v>
      </c>
      <c r="E644" s="80" t="s">
        <v>21</v>
      </c>
      <c r="F644" s="50" t="s">
        <v>45</v>
      </c>
      <c r="G644" s="50" t="s">
        <v>1964</v>
      </c>
      <c r="H644" s="88">
        <v>5070</v>
      </c>
      <c r="I644" s="88"/>
      <c r="J644" s="89"/>
      <c r="K644" s="89"/>
      <c r="L644" s="89">
        <f t="shared" si="18"/>
        <v>5070</v>
      </c>
      <c r="M644" s="87">
        <f t="shared" si="19"/>
        <v>5070</v>
      </c>
      <c r="N644" s="94"/>
      <c r="O644" s="94"/>
      <c r="P644" s="77">
        <v>41114</v>
      </c>
      <c r="Q644" s="77">
        <v>41237</v>
      </c>
      <c r="R644" s="49">
        <v>10950</v>
      </c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</row>
    <row r="645" spans="1:38" ht="38.25" x14ac:dyDescent="0.2">
      <c r="A645" s="45" t="s">
        <v>1965</v>
      </c>
      <c r="B645" s="45">
        <v>1644</v>
      </c>
      <c r="C645" s="50" t="s">
        <v>19</v>
      </c>
      <c r="D645" s="50" t="s">
        <v>316</v>
      </c>
      <c r="E645" s="80" t="s">
        <v>308</v>
      </c>
      <c r="F645" s="50" t="s">
        <v>71</v>
      </c>
      <c r="G645" s="50" t="s">
        <v>1966</v>
      </c>
      <c r="H645" s="88">
        <v>12900</v>
      </c>
      <c r="I645" s="88"/>
      <c r="J645" s="89"/>
      <c r="K645" s="89"/>
      <c r="L645" s="89">
        <f t="shared" si="18"/>
        <v>12900</v>
      </c>
      <c r="M645" s="87">
        <f t="shared" si="19"/>
        <v>12900</v>
      </c>
      <c r="N645" s="94"/>
      <c r="O645" s="94"/>
      <c r="P645" s="77">
        <v>41138</v>
      </c>
      <c r="Q645" s="77">
        <v>41322</v>
      </c>
      <c r="R645" s="49">
        <v>10995</v>
      </c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</row>
    <row r="646" spans="1:38" ht="25.5" x14ac:dyDescent="0.2">
      <c r="A646" s="45" t="s">
        <v>1967</v>
      </c>
      <c r="B646" s="45">
        <v>32680</v>
      </c>
      <c r="C646" s="50" t="s">
        <v>19</v>
      </c>
      <c r="D646" s="50" t="s">
        <v>1968</v>
      </c>
      <c r="E646" s="80" t="s">
        <v>308</v>
      </c>
      <c r="F646" s="50" t="s">
        <v>87</v>
      </c>
      <c r="G646" s="50" t="s">
        <v>1969</v>
      </c>
      <c r="H646" s="88">
        <v>11720</v>
      </c>
      <c r="I646" s="88"/>
      <c r="J646" s="89"/>
      <c r="K646" s="89"/>
      <c r="L646" s="89">
        <f t="shared" si="18"/>
        <v>11720</v>
      </c>
      <c r="M646" s="87">
        <f t="shared" si="19"/>
        <v>11720</v>
      </c>
      <c r="N646" s="94"/>
      <c r="O646" s="94"/>
      <c r="P646" s="77">
        <v>41138</v>
      </c>
      <c r="Q646" s="77">
        <v>41322</v>
      </c>
      <c r="R646" s="49">
        <v>10999</v>
      </c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</row>
    <row r="647" spans="1:38" ht="25.5" x14ac:dyDescent="0.2">
      <c r="A647" s="45" t="s">
        <v>1970</v>
      </c>
      <c r="B647" s="45">
        <v>33015</v>
      </c>
      <c r="C647" s="50" t="s">
        <v>19</v>
      </c>
      <c r="D647" s="50" t="s">
        <v>1971</v>
      </c>
      <c r="E647" s="80" t="s">
        <v>308</v>
      </c>
      <c r="F647" s="50" t="s">
        <v>167</v>
      </c>
      <c r="G647" s="50" t="s">
        <v>1972</v>
      </c>
      <c r="H647" s="88">
        <v>5955.55</v>
      </c>
      <c r="I647" s="88"/>
      <c r="J647" s="89"/>
      <c r="K647" s="89"/>
      <c r="L647" s="89">
        <f t="shared" ref="L647:L710" si="20">H647+I647+J647+K647</f>
        <v>5955.55</v>
      </c>
      <c r="M647" s="87">
        <f t="shared" ref="M647:M710" si="21">SUM(L647)</f>
        <v>5955.55</v>
      </c>
      <c r="N647" s="94"/>
      <c r="O647" s="94"/>
      <c r="P647" s="77">
        <v>41138</v>
      </c>
      <c r="Q647" s="77">
        <v>41322</v>
      </c>
      <c r="R647" s="49">
        <v>11001</v>
      </c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</row>
    <row r="648" spans="1:38" ht="25.5" x14ac:dyDescent="0.2">
      <c r="A648" s="45" t="s">
        <v>1973</v>
      </c>
      <c r="B648" s="45">
        <v>32841</v>
      </c>
      <c r="C648" s="50" t="s">
        <v>19</v>
      </c>
      <c r="D648" s="50" t="s">
        <v>1974</v>
      </c>
      <c r="E648" s="80" t="s">
        <v>308</v>
      </c>
      <c r="F648" s="50" t="s">
        <v>98</v>
      </c>
      <c r="G648" s="50" t="s">
        <v>1975</v>
      </c>
      <c r="H648" s="88">
        <v>7000</v>
      </c>
      <c r="I648" s="88"/>
      <c r="J648" s="89"/>
      <c r="K648" s="89"/>
      <c r="L648" s="89">
        <f t="shared" si="20"/>
        <v>7000</v>
      </c>
      <c r="M648" s="87">
        <f t="shared" si="21"/>
        <v>7000</v>
      </c>
      <c r="N648" s="94"/>
      <c r="O648" s="94"/>
      <c r="P648" s="77">
        <v>41138</v>
      </c>
      <c r="Q648" s="77">
        <v>41322</v>
      </c>
      <c r="R648" s="49">
        <v>11003</v>
      </c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</row>
    <row r="649" spans="1:38" ht="38.25" x14ac:dyDescent="0.2">
      <c r="A649" s="45" t="s">
        <v>1976</v>
      </c>
      <c r="B649" s="45">
        <v>32777</v>
      </c>
      <c r="C649" s="50" t="s">
        <v>35</v>
      </c>
      <c r="D649" s="50" t="s">
        <v>1977</v>
      </c>
      <c r="E649" s="80" t="s">
        <v>308</v>
      </c>
      <c r="F649" s="50" t="s">
        <v>98</v>
      </c>
      <c r="G649" s="50" t="s">
        <v>1978</v>
      </c>
      <c r="H649" s="88">
        <v>6500</v>
      </c>
      <c r="I649" s="88"/>
      <c r="J649" s="89"/>
      <c r="K649" s="89"/>
      <c r="L649" s="89">
        <f t="shared" si="20"/>
        <v>6500</v>
      </c>
      <c r="M649" s="87">
        <f t="shared" si="21"/>
        <v>6500</v>
      </c>
      <c r="N649" s="94"/>
      <c r="O649" s="94"/>
      <c r="P649" s="77">
        <v>41145</v>
      </c>
      <c r="Q649" s="77">
        <v>41329</v>
      </c>
      <c r="R649" s="49">
        <v>10970</v>
      </c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</row>
    <row r="650" spans="1:38" ht="38.25" x14ac:dyDescent="0.2">
      <c r="A650" s="45" t="s">
        <v>1979</v>
      </c>
      <c r="B650" s="45">
        <v>32746</v>
      </c>
      <c r="C650" s="50" t="s">
        <v>35</v>
      </c>
      <c r="D650" s="50" t="s">
        <v>937</v>
      </c>
      <c r="E650" s="80" t="s">
        <v>308</v>
      </c>
      <c r="F650" s="50" t="s">
        <v>94</v>
      </c>
      <c r="G650" s="50" t="s">
        <v>1980</v>
      </c>
      <c r="H650" s="88">
        <v>7000</v>
      </c>
      <c r="I650" s="88"/>
      <c r="J650" s="89"/>
      <c r="K650" s="89"/>
      <c r="L650" s="89">
        <f t="shared" si="20"/>
        <v>7000</v>
      </c>
      <c r="M650" s="87">
        <f t="shared" si="21"/>
        <v>7000</v>
      </c>
      <c r="N650" s="94"/>
      <c r="O650" s="94"/>
      <c r="P650" s="77">
        <v>41145</v>
      </c>
      <c r="Q650" s="77">
        <v>41329</v>
      </c>
      <c r="R650" s="49">
        <v>10969</v>
      </c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</row>
    <row r="651" spans="1:38" ht="38.25" x14ac:dyDescent="0.2">
      <c r="A651" s="45" t="s">
        <v>1981</v>
      </c>
      <c r="B651" s="45">
        <v>32985</v>
      </c>
      <c r="C651" s="50" t="s">
        <v>35</v>
      </c>
      <c r="D651" s="50" t="s">
        <v>1982</v>
      </c>
      <c r="E651" s="80" t="s">
        <v>308</v>
      </c>
      <c r="F651" s="50" t="s">
        <v>87</v>
      </c>
      <c r="G651" s="50" t="s">
        <v>1983</v>
      </c>
      <c r="H651" s="88">
        <v>15000</v>
      </c>
      <c r="I651" s="88"/>
      <c r="J651" s="89"/>
      <c r="K651" s="89"/>
      <c r="L651" s="89">
        <f t="shared" si="20"/>
        <v>15000</v>
      </c>
      <c r="M651" s="87">
        <f t="shared" si="21"/>
        <v>15000</v>
      </c>
      <c r="N651" s="94"/>
      <c r="O651" s="94"/>
      <c r="P651" s="77">
        <v>41145</v>
      </c>
      <c r="Q651" s="77">
        <v>41329</v>
      </c>
      <c r="R651" s="49">
        <v>10967</v>
      </c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</row>
    <row r="652" spans="1:38" ht="25.5" x14ac:dyDescent="0.2">
      <c r="A652" s="45" t="s">
        <v>1984</v>
      </c>
      <c r="B652" s="45">
        <v>32838</v>
      </c>
      <c r="C652" s="50" t="s">
        <v>35</v>
      </c>
      <c r="D652" s="50" t="s">
        <v>216</v>
      </c>
      <c r="E652" s="80" t="s">
        <v>308</v>
      </c>
      <c r="F652" s="50" t="s">
        <v>167</v>
      </c>
      <c r="G652" s="50" t="s">
        <v>1985</v>
      </c>
      <c r="H652" s="88">
        <v>9460</v>
      </c>
      <c r="I652" s="88"/>
      <c r="J652" s="89"/>
      <c r="K652" s="89"/>
      <c r="L652" s="89">
        <f t="shared" si="20"/>
        <v>9460</v>
      </c>
      <c r="M652" s="87">
        <f t="shared" si="21"/>
        <v>9460</v>
      </c>
      <c r="N652" s="94"/>
      <c r="O652" s="94"/>
      <c r="P652" s="77">
        <v>41138</v>
      </c>
      <c r="Q652" s="77">
        <v>41322</v>
      </c>
      <c r="R652" s="49">
        <v>10971</v>
      </c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</row>
    <row r="653" spans="1:38" s="44" customFormat="1" ht="38.25" x14ac:dyDescent="0.2">
      <c r="A653" s="65" t="s">
        <v>1986</v>
      </c>
      <c r="B653" s="65">
        <v>33055</v>
      </c>
      <c r="C653" s="85" t="s">
        <v>1987</v>
      </c>
      <c r="D653" s="85" t="s">
        <v>1988</v>
      </c>
      <c r="E653" s="85" t="s">
        <v>308</v>
      </c>
      <c r="F653" s="85" t="s">
        <v>98</v>
      </c>
      <c r="G653" s="85" t="s">
        <v>1989</v>
      </c>
      <c r="H653" s="95">
        <v>10000</v>
      </c>
      <c r="I653" s="95"/>
      <c r="J653" s="96"/>
      <c r="K653" s="96"/>
      <c r="L653" s="96">
        <f t="shared" si="20"/>
        <v>10000</v>
      </c>
      <c r="M653" s="97">
        <f t="shared" si="21"/>
        <v>10000</v>
      </c>
      <c r="N653" s="98"/>
      <c r="O653" s="98"/>
      <c r="P653" s="78"/>
      <c r="Q653" s="78"/>
      <c r="R653" s="66"/>
    </row>
    <row r="654" spans="1:38" ht="25.5" x14ac:dyDescent="0.2">
      <c r="A654" s="45" t="s">
        <v>1990</v>
      </c>
      <c r="B654" s="45">
        <v>32671</v>
      </c>
      <c r="C654" s="50" t="s">
        <v>1991</v>
      </c>
      <c r="D654" s="50" t="s">
        <v>1992</v>
      </c>
      <c r="E654" s="80" t="s">
        <v>308</v>
      </c>
      <c r="F654" s="50" t="s">
        <v>45</v>
      </c>
      <c r="G654" s="50" t="s">
        <v>1993</v>
      </c>
      <c r="H654" s="88">
        <v>7314</v>
      </c>
      <c r="I654" s="88"/>
      <c r="J654" s="89"/>
      <c r="K654" s="89"/>
      <c r="L654" s="89">
        <f t="shared" si="20"/>
        <v>7314</v>
      </c>
      <c r="M654" s="87">
        <f t="shared" si="21"/>
        <v>7314</v>
      </c>
      <c r="N654" s="94"/>
      <c r="O654" s="94"/>
      <c r="P654" s="77">
        <v>41134</v>
      </c>
      <c r="Q654" s="77">
        <v>41318</v>
      </c>
      <c r="R654" s="49">
        <v>11125</v>
      </c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</row>
    <row r="655" spans="1:38" ht="25.5" x14ac:dyDescent="0.2">
      <c r="A655" s="45" t="s">
        <v>1994</v>
      </c>
      <c r="B655" s="45">
        <v>1670</v>
      </c>
      <c r="C655" s="50" t="s">
        <v>1991</v>
      </c>
      <c r="D655" s="50" t="s">
        <v>1995</v>
      </c>
      <c r="E655" s="80" t="s">
        <v>308</v>
      </c>
      <c r="F655" s="50" t="s">
        <v>98</v>
      </c>
      <c r="G655" s="50" t="s">
        <v>1996</v>
      </c>
      <c r="H655" s="88">
        <v>5706</v>
      </c>
      <c r="I655" s="88"/>
      <c r="J655" s="89"/>
      <c r="K655" s="89"/>
      <c r="L655" s="89">
        <f t="shared" si="20"/>
        <v>5706</v>
      </c>
      <c r="M655" s="87">
        <f t="shared" si="21"/>
        <v>5706</v>
      </c>
      <c r="N655" s="94"/>
      <c r="O655" s="94"/>
      <c r="P655" s="77">
        <v>41134</v>
      </c>
      <c r="Q655" s="77">
        <v>41318</v>
      </c>
      <c r="R655" s="49">
        <v>11127</v>
      </c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</row>
    <row r="656" spans="1:38" ht="25.5" x14ac:dyDescent="0.2">
      <c r="A656" s="45" t="s">
        <v>1997</v>
      </c>
      <c r="B656" s="45">
        <v>32883</v>
      </c>
      <c r="C656" s="50" t="s">
        <v>43</v>
      </c>
      <c r="D656" s="50" t="s">
        <v>1998</v>
      </c>
      <c r="E656" s="80" t="s">
        <v>308</v>
      </c>
      <c r="F656" s="50" t="s">
        <v>167</v>
      </c>
      <c r="G656" s="50" t="s">
        <v>1951</v>
      </c>
      <c r="H656" s="88">
        <v>10000</v>
      </c>
      <c r="I656" s="88"/>
      <c r="J656" s="89"/>
      <c r="K656" s="89"/>
      <c r="L656" s="89">
        <f t="shared" si="20"/>
        <v>10000</v>
      </c>
      <c r="M656" s="87">
        <f t="shared" si="21"/>
        <v>10000</v>
      </c>
      <c r="N656" s="94"/>
      <c r="O656" s="94"/>
      <c r="P656" s="77">
        <v>41169</v>
      </c>
      <c r="Q656" s="77">
        <v>41350</v>
      </c>
      <c r="R656" s="49">
        <v>11258</v>
      </c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</row>
    <row r="657" spans="1:38" ht="25.5" x14ac:dyDescent="0.2">
      <c r="A657" s="45" t="s">
        <v>1999</v>
      </c>
      <c r="B657" s="45">
        <v>32769</v>
      </c>
      <c r="C657" s="50" t="s">
        <v>43</v>
      </c>
      <c r="D657" s="50" t="s">
        <v>2000</v>
      </c>
      <c r="E657" s="80" t="s">
        <v>308</v>
      </c>
      <c r="F657" s="50" t="s">
        <v>98</v>
      </c>
      <c r="G657" s="50" t="s">
        <v>2001</v>
      </c>
      <c r="H657" s="88">
        <v>7840</v>
      </c>
      <c r="I657" s="88"/>
      <c r="J657" s="89"/>
      <c r="K657" s="89"/>
      <c r="L657" s="89">
        <f t="shared" si="20"/>
        <v>7840</v>
      </c>
      <c r="M657" s="87">
        <f t="shared" si="21"/>
        <v>7840</v>
      </c>
      <c r="N657" s="94"/>
      <c r="O657" s="94"/>
      <c r="P657" s="77">
        <v>41155</v>
      </c>
      <c r="Q657" s="77">
        <v>41336</v>
      </c>
      <c r="R657" s="49">
        <v>11021</v>
      </c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</row>
    <row r="658" spans="1:38" ht="25.5" x14ac:dyDescent="0.2">
      <c r="A658" s="45" t="s">
        <v>2002</v>
      </c>
      <c r="B658" s="45">
        <v>32644</v>
      </c>
      <c r="C658" s="50" t="s">
        <v>43</v>
      </c>
      <c r="D658" s="50" t="s">
        <v>2003</v>
      </c>
      <c r="E658" s="80" t="s">
        <v>308</v>
      </c>
      <c r="F658" s="50" t="s">
        <v>71</v>
      </c>
      <c r="G658" s="50" t="s">
        <v>2004</v>
      </c>
      <c r="H658" s="88">
        <v>7200</v>
      </c>
      <c r="I658" s="88"/>
      <c r="J658" s="89"/>
      <c r="K658" s="89"/>
      <c r="L658" s="89">
        <f t="shared" si="20"/>
        <v>7200</v>
      </c>
      <c r="M658" s="87">
        <f t="shared" si="21"/>
        <v>7200</v>
      </c>
      <c r="N658" s="94"/>
      <c r="O658" s="94"/>
      <c r="P658" s="77">
        <v>41145</v>
      </c>
      <c r="Q658" s="77">
        <v>41329</v>
      </c>
      <c r="R658" s="49">
        <v>11018</v>
      </c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</row>
    <row r="659" spans="1:38" ht="25.5" x14ac:dyDescent="0.2">
      <c r="A659" s="45" t="s">
        <v>2005</v>
      </c>
      <c r="B659" s="45">
        <v>32771</v>
      </c>
      <c r="C659" s="50" t="s">
        <v>369</v>
      </c>
      <c r="D659" s="50" t="s">
        <v>2006</v>
      </c>
      <c r="E659" s="80" t="s">
        <v>308</v>
      </c>
      <c r="F659" s="50" t="s">
        <v>98</v>
      </c>
      <c r="G659" s="50" t="s">
        <v>2007</v>
      </c>
      <c r="H659" s="88">
        <v>7500</v>
      </c>
      <c r="I659" s="88"/>
      <c r="J659" s="89"/>
      <c r="K659" s="89"/>
      <c r="L659" s="89">
        <f t="shared" si="20"/>
        <v>7500</v>
      </c>
      <c r="M659" s="87">
        <f t="shared" si="21"/>
        <v>7500</v>
      </c>
      <c r="N659" s="94"/>
      <c r="O659" s="94"/>
      <c r="P659" s="77">
        <v>41138</v>
      </c>
      <c r="Q659" s="77">
        <v>41322</v>
      </c>
      <c r="R659" s="49">
        <v>11006</v>
      </c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</row>
    <row r="660" spans="1:38" ht="25.5" x14ac:dyDescent="0.2">
      <c r="A660" s="45" t="s">
        <v>2008</v>
      </c>
      <c r="B660" s="45">
        <v>32969</v>
      </c>
      <c r="C660" s="50" t="s">
        <v>369</v>
      </c>
      <c r="D660" s="50" t="s">
        <v>2009</v>
      </c>
      <c r="E660" s="80" t="s">
        <v>308</v>
      </c>
      <c r="F660" s="50" t="s">
        <v>71</v>
      </c>
      <c r="G660" s="50" t="s">
        <v>2010</v>
      </c>
      <c r="H660" s="88">
        <v>4905</v>
      </c>
      <c r="I660" s="88"/>
      <c r="J660" s="89"/>
      <c r="K660" s="89"/>
      <c r="L660" s="89">
        <f t="shared" si="20"/>
        <v>4905</v>
      </c>
      <c r="M660" s="87">
        <f t="shared" si="21"/>
        <v>4905</v>
      </c>
      <c r="N660" s="94"/>
      <c r="O660" s="94"/>
      <c r="P660" s="77">
        <v>41135</v>
      </c>
      <c r="Q660" s="77">
        <v>41319</v>
      </c>
      <c r="R660" s="49">
        <v>11008</v>
      </c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</row>
    <row r="661" spans="1:38" ht="25.5" x14ac:dyDescent="0.2">
      <c r="A661" s="45" t="s">
        <v>2011</v>
      </c>
      <c r="B661" s="45">
        <v>33041</v>
      </c>
      <c r="C661" s="50" t="s">
        <v>574</v>
      </c>
      <c r="D661" s="50" t="s">
        <v>2012</v>
      </c>
      <c r="E661" s="80" t="s">
        <v>308</v>
      </c>
      <c r="F661" s="50" t="s">
        <v>45</v>
      </c>
      <c r="G661" s="50" t="s">
        <v>2013</v>
      </c>
      <c r="H661" s="88">
        <v>10200</v>
      </c>
      <c r="I661" s="88"/>
      <c r="J661" s="89"/>
      <c r="K661" s="89"/>
      <c r="L661" s="89">
        <f t="shared" si="20"/>
        <v>10200</v>
      </c>
      <c r="M661" s="87">
        <f t="shared" si="21"/>
        <v>10200</v>
      </c>
      <c r="N661" s="94"/>
      <c r="O661" s="94"/>
      <c r="P661" s="77">
        <v>41136</v>
      </c>
      <c r="Q661" s="77">
        <v>41320</v>
      </c>
      <c r="R661" s="49">
        <v>11122</v>
      </c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</row>
    <row r="662" spans="1:38" ht="25.5" x14ac:dyDescent="0.2">
      <c r="A662" s="45" t="s">
        <v>2014</v>
      </c>
      <c r="B662" s="45">
        <v>32975</v>
      </c>
      <c r="C662" s="50" t="s">
        <v>574</v>
      </c>
      <c r="D662" s="50" t="s">
        <v>2015</v>
      </c>
      <c r="E662" s="80" t="s">
        <v>308</v>
      </c>
      <c r="F662" s="50" t="s">
        <v>98</v>
      </c>
      <c r="G662" s="50" t="s">
        <v>2016</v>
      </c>
      <c r="H662" s="88">
        <v>2004</v>
      </c>
      <c r="I662" s="88"/>
      <c r="J662" s="89"/>
      <c r="K662" s="89"/>
      <c r="L662" s="89">
        <f t="shared" si="20"/>
        <v>2004</v>
      </c>
      <c r="M662" s="87">
        <f t="shared" si="21"/>
        <v>2004</v>
      </c>
      <c r="N662" s="94"/>
      <c r="O662" s="94"/>
      <c r="P662" s="77">
        <v>41136</v>
      </c>
      <c r="Q662" s="77">
        <v>41320</v>
      </c>
      <c r="R662" s="49">
        <v>11121</v>
      </c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</row>
    <row r="663" spans="1:38" ht="25.5" x14ac:dyDescent="0.2">
      <c r="A663" s="45" t="s">
        <v>2017</v>
      </c>
      <c r="B663" s="45">
        <v>32843</v>
      </c>
      <c r="C663" s="50" t="s">
        <v>1404</v>
      </c>
      <c r="D663" s="50" t="s">
        <v>2018</v>
      </c>
      <c r="E663" s="80" t="s">
        <v>308</v>
      </c>
      <c r="F663" s="50" t="s">
        <v>98</v>
      </c>
      <c r="G663" s="50" t="s">
        <v>2019</v>
      </c>
      <c r="H663" s="88">
        <v>2510</v>
      </c>
      <c r="I663" s="88"/>
      <c r="J663" s="89"/>
      <c r="K663" s="89"/>
      <c r="L663" s="89">
        <f t="shared" si="20"/>
        <v>2510</v>
      </c>
      <c r="M663" s="87">
        <f t="shared" si="21"/>
        <v>2510</v>
      </c>
      <c r="N663" s="94"/>
      <c r="O663" s="94"/>
      <c r="P663" s="77">
        <v>41131</v>
      </c>
      <c r="Q663" s="77">
        <v>41315</v>
      </c>
      <c r="R663" s="49">
        <v>10935</v>
      </c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</row>
    <row r="664" spans="1:38" ht="38.25" x14ac:dyDescent="0.2">
      <c r="A664" s="45" t="s">
        <v>2020</v>
      </c>
      <c r="B664" s="45">
        <v>33025</v>
      </c>
      <c r="C664" s="50" t="s">
        <v>1404</v>
      </c>
      <c r="D664" s="50" t="s">
        <v>2021</v>
      </c>
      <c r="E664" s="80" t="s">
        <v>308</v>
      </c>
      <c r="F664" s="50" t="s">
        <v>98</v>
      </c>
      <c r="G664" s="50" t="s">
        <v>2022</v>
      </c>
      <c r="H664" s="88">
        <v>2000</v>
      </c>
      <c r="I664" s="88"/>
      <c r="J664" s="89"/>
      <c r="K664" s="89"/>
      <c r="L664" s="89">
        <f t="shared" si="20"/>
        <v>2000</v>
      </c>
      <c r="M664" s="87">
        <f t="shared" si="21"/>
        <v>2000</v>
      </c>
      <c r="N664" s="94"/>
      <c r="O664" s="94"/>
      <c r="P664" s="77">
        <v>41131</v>
      </c>
      <c r="Q664" s="77">
        <v>41315</v>
      </c>
      <c r="R664" s="49">
        <v>10934</v>
      </c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</row>
    <row r="665" spans="1:38" ht="38.25" x14ac:dyDescent="0.2">
      <c r="A665" s="45" t="s">
        <v>2023</v>
      </c>
      <c r="B665" s="45">
        <v>32701</v>
      </c>
      <c r="C665" s="50" t="s">
        <v>238</v>
      </c>
      <c r="D665" s="50" t="s">
        <v>2024</v>
      </c>
      <c r="E665" s="80" t="s">
        <v>308</v>
      </c>
      <c r="F665" s="50" t="s">
        <v>87</v>
      </c>
      <c r="G665" s="50" t="s">
        <v>2025</v>
      </c>
      <c r="H665" s="88">
        <v>15000</v>
      </c>
      <c r="I665" s="88"/>
      <c r="J665" s="89"/>
      <c r="K665" s="89"/>
      <c r="L665" s="89">
        <f t="shared" si="20"/>
        <v>15000</v>
      </c>
      <c r="M665" s="87">
        <f t="shared" si="21"/>
        <v>15000</v>
      </c>
      <c r="N665" s="94"/>
      <c r="O665" s="94"/>
      <c r="P665" s="77">
        <v>41138</v>
      </c>
      <c r="Q665" s="77">
        <v>41322</v>
      </c>
      <c r="R665" s="49">
        <v>10961</v>
      </c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</row>
    <row r="666" spans="1:38" ht="25.5" x14ac:dyDescent="0.2">
      <c r="A666" s="45" t="s">
        <v>2026</v>
      </c>
      <c r="B666" s="45">
        <v>32960</v>
      </c>
      <c r="C666" s="50" t="s">
        <v>107</v>
      </c>
      <c r="D666" s="50" t="s">
        <v>2027</v>
      </c>
      <c r="E666" s="80" t="s">
        <v>308</v>
      </c>
      <c r="F666" s="50" t="s">
        <v>98</v>
      </c>
      <c r="G666" s="50" t="s">
        <v>2028</v>
      </c>
      <c r="H666" s="88">
        <v>7479</v>
      </c>
      <c r="I666" s="88"/>
      <c r="J666" s="89"/>
      <c r="K666" s="89"/>
      <c r="L666" s="89">
        <f t="shared" si="20"/>
        <v>7479</v>
      </c>
      <c r="M666" s="87">
        <f t="shared" si="21"/>
        <v>7479</v>
      </c>
      <c r="N666" s="94"/>
      <c r="O666" s="94"/>
      <c r="P666" s="77">
        <v>41136</v>
      </c>
      <c r="Q666" s="77">
        <v>41320</v>
      </c>
      <c r="R666" s="49">
        <v>11119</v>
      </c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</row>
    <row r="667" spans="1:38" ht="25.5" x14ac:dyDescent="0.2">
      <c r="A667" s="45" t="s">
        <v>2029</v>
      </c>
      <c r="B667" s="45">
        <v>32938</v>
      </c>
      <c r="C667" s="50" t="s">
        <v>414</v>
      </c>
      <c r="D667" s="50" t="s">
        <v>1612</v>
      </c>
      <c r="E667" s="80" t="s">
        <v>308</v>
      </c>
      <c r="F667" s="50" t="s">
        <v>71</v>
      </c>
      <c r="G667" s="50" t="s">
        <v>2030</v>
      </c>
      <c r="H667" s="88">
        <v>3992</v>
      </c>
      <c r="I667" s="88"/>
      <c r="J667" s="89"/>
      <c r="K667" s="89"/>
      <c r="L667" s="89">
        <f t="shared" si="20"/>
        <v>3992</v>
      </c>
      <c r="M667" s="87">
        <f t="shared" si="21"/>
        <v>3992</v>
      </c>
      <c r="N667" s="94"/>
      <c r="O667" s="94"/>
      <c r="P667" s="77">
        <v>41134</v>
      </c>
      <c r="Q667" s="77">
        <v>41318</v>
      </c>
      <c r="R667" s="49">
        <v>11013</v>
      </c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</row>
    <row r="668" spans="1:38" ht="38.25" x14ac:dyDescent="0.2">
      <c r="A668" s="45" t="s">
        <v>2031</v>
      </c>
      <c r="B668" s="45">
        <v>1692</v>
      </c>
      <c r="C668" s="50" t="s">
        <v>414</v>
      </c>
      <c r="D668" s="50" t="s">
        <v>2032</v>
      </c>
      <c r="E668" s="80" t="s">
        <v>308</v>
      </c>
      <c r="F668" s="50" t="s">
        <v>98</v>
      </c>
      <c r="G668" s="50" t="s">
        <v>2033</v>
      </c>
      <c r="H668" s="88">
        <v>5127</v>
      </c>
      <c r="I668" s="88"/>
      <c r="J668" s="89"/>
      <c r="K668" s="89"/>
      <c r="L668" s="89">
        <f t="shared" si="20"/>
        <v>5127</v>
      </c>
      <c r="M668" s="87">
        <f t="shared" si="21"/>
        <v>5127</v>
      </c>
      <c r="N668" s="94"/>
      <c r="O668" s="94"/>
      <c r="P668" s="77">
        <v>41134</v>
      </c>
      <c r="Q668" s="77">
        <v>41318</v>
      </c>
      <c r="R668" s="49">
        <v>11117</v>
      </c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</row>
    <row r="669" spans="1:38" ht="51" x14ac:dyDescent="0.2">
      <c r="A669" s="45" t="s">
        <v>2034</v>
      </c>
      <c r="B669" s="45">
        <v>32894</v>
      </c>
      <c r="C669" s="50" t="s">
        <v>2035</v>
      </c>
      <c r="D669" s="50" t="s">
        <v>2036</v>
      </c>
      <c r="E669" s="80" t="s">
        <v>308</v>
      </c>
      <c r="F669" s="50" t="s">
        <v>87</v>
      </c>
      <c r="G669" s="50" t="s">
        <v>2037</v>
      </c>
      <c r="H669" s="88">
        <v>13302.02</v>
      </c>
      <c r="I669" s="88"/>
      <c r="J669" s="89"/>
      <c r="K669" s="89"/>
      <c r="L669" s="89">
        <f t="shared" si="20"/>
        <v>13302.02</v>
      </c>
      <c r="M669" s="87">
        <f t="shared" si="21"/>
        <v>13302.02</v>
      </c>
      <c r="N669" s="94"/>
      <c r="O669" s="94"/>
      <c r="P669" s="77">
        <v>41138</v>
      </c>
      <c r="Q669" s="77">
        <v>41322</v>
      </c>
      <c r="R669" s="49">
        <v>10928</v>
      </c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</row>
    <row r="670" spans="1:38" ht="25.5" x14ac:dyDescent="0.2">
      <c r="A670" s="45" t="s">
        <v>2038</v>
      </c>
      <c r="B670" s="45">
        <v>32686</v>
      </c>
      <c r="C670" s="50" t="s">
        <v>231</v>
      </c>
      <c r="D670" s="50" t="s">
        <v>2039</v>
      </c>
      <c r="E670" s="80" t="s">
        <v>308</v>
      </c>
      <c r="F670" s="50" t="s">
        <v>63</v>
      </c>
      <c r="G670" s="50" t="s">
        <v>2040</v>
      </c>
      <c r="H670" s="88">
        <v>4306</v>
      </c>
      <c r="I670" s="88"/>
      <c r="J670" s="89"/>
      <c r="K670" s="89"/>
      <c r="L670" s="89">
        <f t="shared" si="20"/>
        <v>4306</v>
      </c>
      <c r="M670" s="87">
        <f t="shared" si="21"/>
        <v>4306</v>
      </c>
      <c r="N670" s="94"/>
      <c r="O670" s="94"/>
      <c r="P670" s="77">
        <v>41138</v>
      </c>
      <c r="Q670" s="77">
        <v>41322</v>
      </c>
      <c r="R670" s="49">
        <v>11089</v>
      </c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</row>
    <row r="671" spans="1:38" ht="38.25" x14ac:dyDescent="0.2">
      <c r="A671" s="45" t="s">
        <v>2041</v>
      </c>
      <c r="B671" s="45">
        <v>32645</v>
      </c>
      <c r="C671" s="50" t="s">
        <v>113</v>
      </c>
      <c r="D671" s="50" t="s">
        <v>2042</v>
      </c>
      <c r="E671" s="80" t="s">
        <v>308</v>
      </c>
      <c r="F671" s="50" t="s">
        <v>22</v>
      </c>
      <c r="G671" s="50" t="s">
        <v>2043</v>
      </c>
      <c r="H671" s="88">
        <v>2850</v>
      </c>
      <c r="I671" s="88"/>
      <c r="J671" s="89"/>
      <c r="K671" s="89"/>
      <c r="L671" s="89">
        <f t="shared" si="20"/>
        <v>2850</v>
      </c>
      <c r="M671" s="87">
        <f t="shared" si="21"/>
        <v>2850</v>
      </c>
      <c r="N671" s="94"/>
      <c r="O671" s="94"/>
      <c r="P671" s="77">
        <v>41134</v>
      </c>
      <c r="Q671" s="77">
        <v>41318</v>
      </c>
      <c r="R671" s="49">
        <v>11062</v>
      </c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</row>
    <row r="672" spans="1:38" ht="25.5" x14ac:dyDescent="0.2">
      <c r="A672" s="45" t="s">
        <v>2044</v>
      </c>
      <c r="B672" s="45">
        <v>1654</v>
      </c>
      <c r="C672" s="50" t="s">
        <v>2045</v>
      </c>
      <c r="D672" s="50" t="s">
        <v>2046</v>
      </c>
      <c r="E672" s="80" t="s">
        <v>308</v>
      </c>
      <c r="F672" s="50" t="s">
        <v>45</v>
      </c>
      <c r="G672" s="50" t="s">
        <v>2047</v>
      </c>
      <c r="H672" s="88">
        <v>6166</v>
      </c>
      <c r="I672" s="88"/>
      <c r="J672" s="89"/>
      <c r="K672" s="89"/>
      <c r="L672" s="89">
        <f t="shared" si="20"/>
        <v>6166</v>
      </c>
      <c r="M672" s="87">
        <f t="shared" si="21"/>
        <v>6166</v>
      </c>
      <c r="N672" s="94"/>
      <c r="O672" s="94"/>
      <c r="P672" s="77">
        <v>41131</v>
      </c>
      <c r="Q672" s="77">
        <v>41315</v>
      </c>
      <c r="R672" s="49">
        <v>10902</v>
      </c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</row>
    <row r="673" spans="1:38" ht="51" x14ac:dyDescent="0.2">
      <c r="A673" s="45" t="s">
        <v>2048</v>
      </c>
      <c r="B673" s="45">
        <v>32909</v>
      </c>
      <c r="C673" s="50" t="s">
        <v>507</v>
      </c>
      <c r="D673" s="50" t="s">
        <v>2049</v>
      </c>
      <c r="E673" s="80" t="s">
        <v>308</v>
      </c>
      <c r="F673" s="50" t="s">
        <v>98</v>
      </c>
      <c r="G673" s="50" t="s">
        <v>2050</v>
      </c>
      <c r="H673" s="88">
        <v>7300</v>
      </c>
      <c r="I673" s="88"/>
      <c r="J673" s="89"/>
      <c r="K673" s="89"/>
      <c r="L673" s="89">
        <f t="shared" si="20"/>
        <v>7300</v>
      </c>
      <c r="M673" s="87">
        <f t="shared" si="21"/>
        <v>7300</v>
      </c>
      <c r="N673" s="94"/>
      <c r="O673" s="94"/>
      <c r="P673" s="77">
        <v>41134</v>
      </c>
      <c r="Q673" s="77">
        <v>41318</v>
      </c>
      <c r="R673" s="49">
        <v>11120</v>
      </c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</row>
    <row r="674" spans="1:38" ht="51" x14ac:dyDescent="0.2">
      <c r="A674" s="45" t="s">
        <v>2051</v>
      </c>
      <c r="B674" s="45">
        <v>32923</v>
      </c>
      <c r="C674" s="50" t="s">
        <v>243</v>
      </c>
      <c r="D674" s="50" t="s">
        <v>2052</v>
      </c>
      <c r="E674" s="80" t="s">
        <v>308</v>
      </c>
      <c r="F674" s="50" t="s">
        <v>98</v>
      </c>
      <c r="G674" s="50" t="s">
        <v>2053</v>
      </c>
      <c r="H674" s="88">
        <v>10000</v>
      </c>
      <c r="I674" s="88"/>
      <c r="J674" s="89"/>
      <c r="K674" s="89"/>
      <c r="L674" s="89">
        <f t="shared" si="20"/>
        <v>10000</v>
      </c>
      <c r="M674" s="87">
        <f t="shared" si="21"/>
        <v>10000</v>
      </c>
      <c r="N674" s="94"/>
      <c r="O674" s="94"/>
      <c r="P674" s="77">
        <v>41131</v>
      </c>
      <c r="Q674" s="77">
        <v>41315</v>
      </c>
      <c r="R674" s="49">
        <v>11130</v>
      </c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</row>
    <row r="675" spans="1:38" ht="51" x14ac:dyDescent="0.2">
      <c r="A675" s="45" t="s">
        <v>2054</v>
      </c>
      <c r="B675" s="45">
        <v>1679</v>
      </c>
      <c r="C675" s="50" t="s">
        <v>66</v>
      </c>
      <c r="D675" s="50" t="s">
        <v>2055</v>
      </c>
      <c r="E675" s="80" t="s">
        <v>308</v>
      </c>
      <c r="F675" s="50" t="s">
        <v>98</v>
      </c>
      <c r="G675" s="50" t="s">
        <v>2056</v>
      </c>
      <c r="H675" s="88">
        <v>9000</v>
      </c>
      <c r="I675" s="88"/>
      <c r="J675" s="89"/>
      <c r="K675" s="89"/>
      <c r="L675" s="89">
        <f t="shared" si="20"/>
        <v>9000</v>
      </c>
      <c r="M675" s="87">
        <f t="shared" si="21"/>
        <v>9000</v>
      </c>
      <c r="N675" s="94"/>
      <c r="O675" s="94"/>
      <c r="P675" s="77">
        <v>41131</v>
      </c>
      <c r="Q675" s="77">
        <v>41315</v>
      </c>
      <c r="R675" s="49">
        <v>11133</v>
      </c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</row>
    <row r="676" spans="1:38" ht="25.5" x14ac:dyDescent="0.2">
      <c r="A676" s="45" t="s">
        <v>2057</v>
      </c>
      <c r="B676" s="45">
        <v>32698</v>
      </c>
      <c r="C676" s="50" t="s">
        <v>66</v>
      </c>
      <c r="D676" s="50" t="s">
        <v>2058</v>
      </c>
      <c r="E676" s="80" t="s">
        <v>308</v>
      </c>
      <c r="F676" s="50" t="s">
        <v>98</v>
      </c>
      <c r="G676" s="50" t="s">
        <v>2059</v>
      </c>
      <c r="H676" s="88">
        <v>8350</v>
      </c>
      <c r="I676" s="88"/>
      <c r="J676" s="89"/>
      <c r="K676" s="89"/>
      <c r="L676" s="89">
        <f t="shared" si="20"/>
        <v>8350</v>
      </c>
      <c r="M676" s="87">
        <f t="shared" si="21"/>
        <v>8350</v>
      </c>
      <c r="N676" s="94"/>
      <c r="O676" s="94"/>
      <c r="P676" s="77">
        <v>41131</v>
      </c>
      <c r="Q676" s="77">
        <v>41496</v>
      </c>
      <c r="R676" s="49">
        <v>11131</v>
      </c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</row>
    <row r="677" spans="1:38" ht="38.25" x14ac:dyDescent="0.2">
      <c r="A677" s="45" t="s">
        <v>2060</v>
      </c>
      <c r="B677" s="45">
        <v>25243</v>
      </c>
      <c r="C677" s="50" t="s">
        <v>2061</v>
      </c>
      <c r="D677" s="50" t="s">
        <v>2062</v>
      </c>
      <c r="E677" s="80" t="s">
        <v>21</v>
      </c>
      <c r="F677" s="50" t="s">
        <v>94</v>
      </c>
      <c r="G677" s="50" t="s">
        <v>2063</v>
      </c>
      <c r="H677" s="88">
        <v>1450</v>
      </c>
      <c r="I677" s="88"/>
      <c r="J677" s="89"/>
      <c r="K677" s="89"/>
      <c r="L677" s="89">
        <f t="shared" si="20"/>
        <v>1450</v>
      </c>
      <c r="M677" s="87">
        <f t="shared" si="21"/>
        <v>1450</v>
      </c>
      <c r="N677" s="94"/>
      <c r="O677" s="94"/>
      <c r="P677" s="77">
        <v>41130</v>
      </c>
      <c r="Q677" s="77">
        <v>41617</v>
      </c>
      <c r="R677" s="49">
        <v>10937</v>
      </c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</row>
    <row r="678" spans="1:38" ht="25.5" x14ac:dyDescent="0.2">
      <c r="A678" s="45" t="s">
        <v>2064</v>
      </c>
      <c r="B678" s="64">
        <v>33028</v>
      </c>
      <c r="C678" s="50" t="s">
        <v>470</v>
      </c>
      <c r="D678" s="50" t="s">
        <v>2065</v>
      </c>
      <c r="E678" s="50" t="s">
        <v>308</v>
      </c>
      <c r="F678" s="50" t="s">
        <v>87</v>
      </c>
      <c r="G678" s="50" t="s">
        <v>2066</v>
      </c>
      <c r="H678" s="88">
        <v>14000</v>
      </c>
      <c r="I678" s="88"/>
      <c r="J678" s="89"/>
      <c r="K678" s="89"/>
      <c r="L678" s="89">
        <f t="shared" si="20"/>
        <v>14000</v>
      </c>
      <c r="M678" s="87">
        <f t="shared" si="21"/>
        <v>14000</v>
      </c>
      <c r="N678" s="89"/>
      <c r="O678" s="89"/>
      <c r="P678" s="48">
        <v>41214</v>
      </c>
      <c r="Q678" s="68">
        <v>41395</v>
      </c>
      <c r="R678" s="49">
        <v>11839</v>
      </c>
    </row>
    <row r="679" spans="1:38" ht="38.25" x14ac:dyDescent="0.2">
      <c r="A679" s="45" t="s">
        <v>2067</v>
      </c>
      <c r="B679" s="45">
        <v>3945</v>
      </c>
      <c r="C679" s="50" t="s">
        <v>35</v>
      </c>
      <c r="D679" s="50" t="s">
        <v>2068</v>
      </c>
      <c r="E679" s="80" t="s">
        <v>21</v>
      </c>
      <c r="F679" s="50" t="s">
        <v>87</v>
      </c>
      <c r="G679" s="50" t="s">
        <v>2069</v>
      </c>
      <c r="H679" s="88">
        <v>6000</v>
      </c>
      <c r="I679" s="88"/>
      <c r="J679" s="89"/>
      <c r="K679" s="89"/>
      <c r="L679" s="89">
        <f t="shared" si="20"/>
        <v>6000</v>
      </c>
      <c r="M679" s="87">
        <f t="shared" si="21"/>
        <v>6000</v>
      </c>
      <c r="N679" s="89"/>
      <c r="O679" s="89"/>
      <c r="P679" s="48">
        <v>41134</v>
      </c>
      <c r="Q679" s="68">
        <v>41256</v>
      </c>
      <c r="R679" s="49">
        <v>10996</v>
      </c>
    </row>
    <row r="680" spans="1:38" ht="25.5" x14ac:dyDescent="0.2">
      <c r="A680" s="45" t="s">
        <v>2070</v>
      </c>
      <c r="B680" s="45" t="s">
        <v>1487</v>
      </c>
      <c r="C680" s="50" t="s">
        <v>48</v>
      </c>
      <c r="D680" s="50" t="s">
        <v>2071</v>
      </c>
      <c r="E680" s="50" t="s">
        <v>1875</v>
      </c>
      <c r="F680" s="50" t="s">
        <v>26</v>
      </c>
      <c r="G680" s="50" t="s">
        <v>2072</v>
      </c>
      <c r="H680" s="88">
        <v>8000</v>
      </c>
      <c r="I680" s="88"/>
      <c r="J680" s="89"/>
      <c r="K680" s="89"/>
      <c r="L680" s="89">
        <f t="shared" si="20"/>
        <v>8000</v>
      </c>
      <c r="M680" s="87">
        <f t="shared" si="21"/>
        <v>8000</v>
      </c>
      <c r="N680" s="89"/>
      <c r="O680" s="89"/>
      <c r="P680" s="48">
        <v>41201</v>
      </c>
      <c r="Q680" s="68">
        <v>41566</v>
      </c>
      <c r="R680" s="49">
        <v>11955</v>
      </c>
    </row>
    <row r="681" spans="1:38" ht="38.25" x14ac:dyDescent="0.2">
      <c r="A681" s="45" t="s">
        <v>2073</v>
      </c>
      <c r="B681" s="64">
        <v>24008</v>
      </c>
      <c r="C681" s="50" t="s">
        <v>43</v>
      </c>
      <c r="D681" s="50" t="s">
        <v>2074</v>
      </c>
      <c r="E681" s="80" t="s">
        <v>21</v>
      </c>
      <c r="F681" s="50" t="s">
        <v>94</v>
      </c>
      <c r="G681" s="50" t="s">
        <v>2075</v>
      </c>
      <c r="H681" s="88">
        <v>2000</v>
      </c>
      <c r="I681" s="88"/>
      <c r="J681" s="89"/>
      <c r="K681" s="89"/>
      <c r="L681" s="89">
        <f t="shared" si="20"/>
        <v>2000</v>
      </c>
      <c r="M681" s="87">
        <f t="shared" si="21"/>
        <v>2000</v>
      </c>
      <c r="N681" s="89"/>
      <c r="O681" s="89"/>
      <c r="P681" s="48">
        <v>41155</v>
      </c>
      <c r="Q681" s="68">
        <v>41394</v>
      </c>
      <c r="R681" s="49">
        <v>11022</v>
      </c>
    </row>
    <row r="682" spans="1:38" ht="38.25" x14ac:dyDescent="0.2">
      <c r="A682" s="45" t="s">
        <v>2076</v>
      </c>
      <c r="B682" s="64">
        <v>26003</v>
      </c>
      <c r="C682" s="50" t="s">
        <v>19</v>
      </c>
      <c r="D682" s="50" t="s">
        <v>2077</v>
      </c>
      <c r="E682" s="80" t="s">
        <v>21</v>
      </c>
      <c r="F682" s="50" t="s">
        <v>94</v>
      </c>
      <c r="G682" s="50" t="s">
        <v>2078</v>
      </c>
      <c r="H682" s="88">
        <v>3100</v>
      </c>
      <c r="I682" s="88"/>
      <c r="J682" s="89"/>
      <c r="K682" s="89"/>
      <c r="L682" s="89">
        <f t="shared" si="20"/>
        <v>3100</v>
      </c>
      <c r="M682" s="87">
        <f t="shared" si="21"/>
        <v>3100</v>
      </c>
      <c r="N682" s="89"/>
      <c r="O682" s="89"/>
      <c r="P682" s="48">
        <v>41141</v>
      </c>
      <c r="Q682" s="68">
        <v>41263</v>
      </c>
      <c r="R682" s="49">
        <v>11087</v>
      </c>
    </row>
    <row r="683" spans="1:38" ht="25.5" x14ac:dyDescent="0.2">
      <c r="A683" s="45" t="s">
        <v>2079</v>
      </c>
      <c r="B683" s="64">
        <v>32840</v>
      </c>
      <c r="C683" s="50" t="s">
        <v>19</v>
      </c>
      <c r="D683" s="50" t="s">
        <v>1453</v>
      </c>
      <c r="E683" s="80" t="s">
        <v>308</v>
      </c>
      <c r="F683" s="50" t="s">
        <v>98</v>
      </c>
      <c r="G683" s="50" t="s">
        <v>2080</v>
      </c>
      <c r="H683" s="88">
        <v>18770</v>
      </c>
      <c r="I683" s="88"/>
      <c r="J683" s="89"/>
      <c r="K683" s="89"/>
      <c r="L683" s="89">
        <f t="shared" si="20"/>
        <v>18770</v>
      </c>
      <c r="M683" s="87">
        <f t="shared" si="21"/>
        <v>18770</v>
      </c>
      <c r="N683" s="89"/>
      <c r="O683" s="89"/>
      <c r="P683" s="48">
        <v>41141</v>
      </c>
      <c r="Q683" s="68">
        <v>41325</v>
      </c>
      <c r="R683" s="49">
        <v>11078</v>
      </c>
    </row>
    <row r="684" spans="1:38" ht="63.75" x14ac:dyDescent="0.2">
      <c r="A684" s="45" t="s">
        <v>2081</v>
      </c>
      <c r="B684" s="45">
        <v>26047</v>
      </c>
      <c r="C684" s="50" t="s">
        <v>369</v>
      </c>
      <c r="D684" s="50" t="s">
        <v>2009</v>
      </c>
      <c r="E684" s="80" t="s">
        <v>21</v>
      </c>
      <c r="F684" s="50" t="s">
        <v>63</v>
      </c>
      <c r="G684" s="50" t="s">
        <v>2082</v>
      </c>
      <c r="H684" s="88">
        <v>5998.5</v>
      </c>
      <c r="I684" s="88"/>
      <c r="J684" s="89"/>
      <c r="K684" s="89"/>
      <c r="L684" s="89">
        <f t="shared" si="20"/>
        <v>5998.5</v>
      </c>
      <c r="M684" s="87">
        <f t="shared" si="21"/>
        <v>5998.5</v>
      </c>
      <c r="N684" s="89"/>
      <c r="O684" s="89"/>
      <c r="P684" s="48">
        <v>41150</v>
      </c>
      <c r="Q684" s="68">
        <v>41272</v>
      </c>
      <c r="R684" s="49">
        <v>11063</v>
      </c>
    </row>
    <row r="685" spans="1:38" ht="38.25" x14ac:dyDescent="0.2">
      <c r="A685" s="45" t="s">
        <v>2083</v>
      </c>
      <c r="B685" s="45">
        <v>26080</v>
      </c>
      <c r="C685" s="50" t="s">
        <v>369</v>
      </c>
      <c r="D685" s="50" t="s">
        <v>2084</v>
      </c>
      <c r="E685" s="80" t="s">
        <v>21</v>
      </c>
      <c r="F685" s="50" t="s">
        <v>109</v>
      </c>
      <c r="G685" s="50" t="s">
        <v>2085</v>
      </c>
      <c r="H685" s="88">
        <v>6000</v>
      </c>
      <c r="I685" s="88"/>
      <c r="J685" s="89"/>
      <c r="K685" s="89"/>
      <c r="L685" s="89">
        <f t="shared" si="20"/>
        <v>6000</v>
      </c>
      <c r="M685" s="87">
        <f t="shared" si="21"/>
        <v>6000</v>
      </c>
      <c r="N685" s="89"/>
      <c r="O685" s="89"/>
      <c r="P685" s="48">
        <v>41150</v>
      </c>
      <c r="Q685" s="68">
        <v>41272</v>
      </c>
      <c r="R685" s="49">
        <v>11069</v>
      </c>
    </row>
    <row r="686" spans="1:38" ht="38.25" x14ac:dyDescent="0.2">
      <c r="A686" s="45" t="s">
        <v>2086</v>
      </c>
      <c r="B686" s="45">
        <v>26130</v>
      </c>
      <c r="C686" s="50" t="s">
        <v>369</v>
      </c>
      <c r="D686" s="50" t="s">
        <v>2087</v>
      </c>
      <c r="E686" s="80" t="s">
        <v>21</v>
      </c>
      <c r="F686" s="50" t="s">
        <v>109</v>
      </c>
      <c r="G686" s="50" t="s">
        <v>2085</v>
      </c>
      <c r="H686" s="88">
        <v>6000</v>
      </c>
      <c r="I686" s="88"/>
      <c r="J686" s="89"/>
      <c r="K686" s="89"/>
      <c r="L686" s="89">
        <f t="shared" si="20"/>
        <v>6000</v>
      </c>
      <c r="M686" s="87">
        <f t="shared" si="21"/>
        <v>6000</v>
      </c>
      <c r="N686" s="89"/>
      <c r="O686" s="89"/>
      <c r="P686" s="48">
        <v>41150</v>
      </c>
      <c r="Q686" s="68">
        <v>41272</v>
      </c>
      <c r="R686" s="49">
        <v>11070</v>
      </c>
    </row>
    <row r="687" spans="1:38" ht="38.25" x14ac:dyDescent="0.2">
      <c r="A687" s="45" t="s">
        <v>2088</v>
      </c>
      <c r="B687" s="45">
        <v>22913</v>
      </c>
      <c r="C687" s="50" t="s">
        <v>43</v>
      </c>
      <c r="D687" s="50" t="s">
        <v>1308</v>
      </c>
      <c r="E687" s="80" t="s">
        <v>21</v>
      </c>
      <c r="F687" s="50" t="s">
        <v>26</v>
      </c>
      <c r="G687" s="50" t="s">
        <v>2089</v>
      </c>
      <c r="H687" s="88">
        <v>5950</v>
      </c>
      <c r="I687" s="88"/>
      <c r="J687" s="89"/>
      <c r="K687" s="89"/>
      <c r="L687" s="89">
        <f t="shared" si="20"/>
        <v>5950</v>
      </c>
      <c r="M687" s="87">
        <f t="shared" si="21"/>
        <v>5950</v>
      </c>
      <c r="N687" s="89"/>
      <c r="O687" s="89"/>
      <c r="P687" s="48">
        <v>41155</v>
      </c>
      <c r="Q687" s="68">
        <v>41304</v>
      </c>
      <c r="R687" s="49">
        <v>11964</v>
      </c>
    </row>
    <row r="688" spans="1:38" ht="38.25" x14ac:dyDescent="0.2">
      <c r="A688" s="45" t="s">
        <v>2090</v>
      </c>
      <c r="B688" s="45">
        <v>24983</v>
      </c>
      <c r="C688" s="50" t="s">
        <v>43</v>
      </c>
      <c r="D688" s="50" t="s">
        <v>2091</v>
      </c>
      <c r="E688" s="80" t="s">
        <v>21</v>
      </c>
      <c r="F688" s="50" t="s">
        <v>167</v>
      </c>
      <c r="G688" s="50" t="s">
        <v>2092</v>
      </c>
      <c r="H688" s="88">
        <v>1220</v>
      </c>
      <c r="I688" s="88"/>
      <c r="J688" s="89"/>
      <c r="K688" s="89"/>
      <c r="L688" s="89">
        <f t="shared" si="20"/>
        <v>1220</v>
      </c>
      <c r="M688" s="87">
        <f t="shared" si="21"/>
        <v>1220</v>
      </c>
      <c r="N688" s="89"/>
      <c r="O688" s="89"/>
      <c r="P688" s="48">
        <v>41158</v>
      </c>
      <c r="Q688" s="68">
        <v>41280</v>
      </c>
      <c r="R688" s="49">
        <v>11030</v>
      </c>
    </row>
    <row r="689" spans="1:38" ht="38.25" x14ac:dyDescent="0.2">
      <c r="A689" s="45" t="s">
        <v>2093</v>
      </c>
      <c r="B689" s="45">
        <v>25007</v>
      </c>
      <c r="C689" s="50" t="s">
        <v>43</v>
      </c>
      <c r="D689" s="50" t="s">
        <v>2094</v>
      </c>
      <c r="E689" s="80" t="s">
        <v>21</v>
      </c>
      <c r="F689" s="50" t="s">
        <v>121</v>
      </c>
      <c r="G689" s="50" t="s">
        <v>2095</v>
      </c>
      <c r="H689" s="88">
        <v>4416</v>
      </c>
      <c r="I689" s="88"/>
      <c r="J689" s="89"/>
      <c r="K689" s="89"/>
      <c r="L689" s="89">
        <f t="shared" si="20"/>
        <v>4416</v>
      </c>
      <c r="M689" s="87">
        <f t="shared" si="21"/>
        <v>4416</v>
      </c>
      <c r="N689" s="89"/>
      <c r="O689" s="89"/>
      <c r="P689" s="48">
        <v>41151</v>
      </c>
      <c r="Q689" s="68">
        <v>41394</v>
      </c>
      <c r="R689" s="49">
        <v>11024</v>
      </c>
    </row>
    <row r="690" spans="1:38" ht="38.25" x14ac:dyDescent="0.2">
      <c r="A690" s="45" t="s">
        <v>2096</v>
      </c>
      <c r="B690" s="45">
        <v>25956</v>
      </c>
      <c r="C690" s="50" t="s">
        <v>1530</v>
      </c>
      <c r="D690" s="50" t="s">
        <v>2097</v>
      </c>
      <c r="E690" s="80" t="s">
        <v>21</v>
      </c>
      <c r="F690" s="50" t="s">
        <v>98</v>
      </c>
      <c r="G690" s="50" t="s">
        <v>2098</v>
      </c>
      <c r="H690" s="88">
        <v>940</v>
      </c>
      <c r="I690" s="88"/>
      <c r="J690" s="89"/>
      <c r="K690" s="89"/>
      <c r="L690" s="89">
        <f t="shared" si="20"/>
        <v>940</v>
      </c>
      <c r="M690" s="87">
        <f t="shared" si="21"/>
        <v>940</v>
      </c>
      <c r="N690" s="89"/>
      <c r="O690" s="89"/>
      <c r="P690" s="48">
        <v>41156</v>
      </c>
      <c r="Q690" s="68">
        <v>41278</v>
      </c>
      <c r="R690" s="49">
        <v>11265</v>
      </c>
    </row>
    <row r="691" spans="1:38" ht="38.25" x14ac:dyDescent="0.2">
      <c r="A691" s="45" t="s">
        <v>2099</v>
      </c>
      <c r="B691" s="45">
        <v>26116</v>
      </c>
      <c r="C691" s="50" t="s">
        <v>574</v>
      </c>
      <c r="D691" s="50" t="s">
        <v>2100</v>
      </c>
      <c r="E691" s="80" t="s">
        <v>21</v>
      </c>
      <c r="F691" s="50" t="s">
        <v>63</v>
      </c>
      <c r="G691" s="50" t="s">
        <v>2101</v>
      </c>
      <c r="H691" s="88">
        <v>5950</v>
      </c>
      <c r="I691" s="88"/>
      <c r="J691" s="89"/>
      <c r="K691" s="89"/>
      <c r="L691" s="89">
        <f t="shared" si="20"/>
        <v>5950</v>
      </c>
      <c r="M691" s="87">
        <f t="shared" si="21"/>
        <v>5950</v>
      </c>
      <c r="N691" s="89"/>
      <c r="O691" s="89"/>
      <c r="P691" s="48">
        <v>41150</v>
      </c>
      <c r="Q691" s="68">
        <v>41272</v>
      </c>
      <c r="R691" s="49">
        <v>11048</v>
      </c>
    </row>
    <row r="692" spans="1:38" ht="38.25" x14ac:dyDescent="0.2">
      <c r="A692" s="45" t="s">
        <v>2102</v>
      </c>
      <c r="B692" s="45">
        <v>23559</v>
      </c>
      <c r="C692" s="50" t="s">
        <v>107</v>
      </c>
      <c r="D692" s="50" t="s">
        <v>726</v>
      </c>
      <c r="E692" s="80" t="s">
        <v>21</v>
      </c>
      <c r="F692" s="50" t="s">
        <v>121</v>
      </c>
      <c r="G692" s="50" t="s">
        <v>2103</v>
      </c>
      <c r="H692" s="88">
        <v>2500</v>
      </c>
      <c r="I692" s="88"/>
      <c r="J692" s="89"/>
      <c r="K692" s="89"/>
      <c r="L692" s="89">
        <f t="shared" si="20"/>
        <v>2500</v>
      </c>
      <c r="M692" s="87">
        <f t="shared" si="21"/>
        <v>2500</v>
      </c>
      <c r="N692" s="89"/>
      <c r="O692" s="89"/>
      <c r="P692" s="48">
        <v>41148</v>
      </c>
      <c r="Q692" s="68">
        <v>41270</v>
      </c>
      <c r="R692" s="49">
        <v>10973</v>
      </c>
    </row>
    <row r="693" spans="1:38" ht="38.25" x14ac:dyDescent="0.2">
      <c r="A693" s="45" t="s">
        <v>2104</v>
      </c>
      <c r="B693" s="45">
        <v>23987</v>
      </c>
      <c r="C693" s="50" t="s">
        <v>107</v>
      </c>
      <c r="D693" s="50" t="s">
        <v>2105</v>
      </c>
      <c r="E693" s="80" t="s">
        <v>21</v>
      </c>
      <c r="F693" s="50" t="s">
        <v>98</v>
      </c>
      <c r="G693" s="50" t="s">
        <v>2106</v>
      </c>
      <c r="H693" s="88">
        <v>3087</v>
      </c>
      <c r="I693" s="88"/>
      <c r="J693" s="89"/>
      <c r="K693" s="89"/>
      <c r="L693" s="89">
        <f t="shared" si="20"/>
        <v>3087</v>
      </c>
      <c r="M693" s="87">
        <f t="shared" si="21"/>
        <v>3087</v>
      </c>
      <c r="N693" s="89"/>
      <c r="O693" s="89"/>
      <c r="P693" s="48">
        <v>41148</v>
      </c>
      <c r="Q693" s="68">
        <v>41270</v>
      </c>
      <c r="R693" s="49">
        <v>10974</v>
      </c>
    </row>
    <row r="694" spans="1:38" ht="38.25" x14ac:dyDescent="0.2">
      <c r="A694" s="45" t="s">
        <v>2107</v>
      </c>
      <c r="B694" s="45">
        <v>20424</v>
      </c>
      <c r="C694" s="50" t="s">
        <v>107</v>
      </c>
      <c r="D694" s="50" t="s">
        <v>2027</v>
      </c>
      <c r="E694" s="80" t="s">
        <v>21</v>
      </c>
      <c r="F694" s="50" t="s">
        <v>121</v>
      </c>
      <c r="G694" s="50" t="s">
        <v>2108</v>
      </c>
      <c r="H694" s="88">
        <v>2500</v>
      </c>
      <c r="I694" s="88"/>
      <c r="J694" s="89"/>
      <c r="K694" s="89"/>
      <c r="L694" s="89">
        <f t="shared" si="20"/>
        <v>2500</v>
      </c>
      <c r="M694" s="87">
        <f t="shared" si="21"/>
        <v>2500</v>
      </c>
      <c r="N694" s="89"/>
      <c r="O694" s="89"/>
      <c r="P694" s="48">
        <v>41148</v>
      </c>
      <c r="Q694" s="68">
        <v>41270</v>
      </c>
      <c r="R694" s="49">
        <v>10962</v>
      </c>
    </row>
    <row r="695" spans="1:38" ht="38.25" x14ac:dyDescent="0.2">
      <c r="A695" s="45" t="s">
        <v>2109</v>
      </c>
      <c r="B695" s="45">
        <v>10701</v>
      </c>
      <c r="C695" s="50" t="s">
        <v>243</v>
      </c>
      <c r="D695" s="50" t="s">
        <v>2110</v>
      </c>
      <c r="E695" s="80" t="s">
        <v>21</v>
      </c>
      <c r="F695" s="50" t="s">
        <v>167</v>
      </c>
      <c r="G695" s="50" t="s">
        <v>2111</v>
      </c>
      <c r="H695" s="88">
        <v>2420</v>
      </c>
      <c r="I695" s="88"/>
      <c r="J695" s="89"/>
      <c r="K695" s="89"/>
      <c r="L695" s="89">
        <f t="shared" si="20"/>
        <v>2420</v>
      </c>
      <c r="M695" s="87">
        <f t="shared" si="21"/>
        <v>2420</v>
      </c>
      <c r="N695" s="89"/>
      <c r="O695" s="89"/>
      <c r="P695" s="48">
        <v>41144</v>
      </c>
      <c r="Q695" s="68">
        <v>41266</v>
      </c>
      <c r="R695" s="49">
        <v>10975</v>
      </c>
    </row>
    <row r="696" spans="1:38" ht="38.25" x14ac:dyDescent="0.2">
      <c r="A696" s="45" t="s">
        <v>2112</v>
      </c>
      <c r="B696" s="45">
        <v>21691</v>
      </c>
      <c r="C696" s="50" t="s">
        <v>212</v>
      </c>
      <c r="D696" s="50" t="s">
        <v>2113</v>
      </c>
      <c r="E696" s="80" t="s">
        <v>21</v>
      </c>
      <c r="F696" s="50" t="s">
        <v>63</v>
      </c>
      <c r="G696" s="50" t="s">
        <v>2114</v>
      </c>
      <c r="H696" s="88">
        <v>6000</v>
      </c>
      <c r="I696" s="88"/>
      <c r="J696" s="89"/>
      <c r="K696" s="89"/>
      <c r="L696" s="89">
        <f t="shared" si="20"/>
        <v>6000</v>
      </c>
      <c r="M696" s="87">
        <f t="shared" si="21"/>
        <v>6000</v>
      </c>
      <c r="N696" s="89"/>
      <c r="O696" s="89"/>
      <c r="P696" s="48">
        <v>41156</v>
      </c>
      <c r="Q696" s="68">
        <v>41278</v>
      </c>
      <c r="R696" s="49">
        <v>11210</v>
      </c>
    </row>
    <row r="697" spans="1:38" ht="38.25" x14ac:dyDescent="0.2">
      <c r="A697" s="45" t="s">
        <v>2115</v>
      </c>
      <c r="B697" s="45">
        <v>15281</v>
      </c>
      <c r="C697" s="50" t="s">
        <v>243</v>
      </c>
      <c r="D697" s="50" t="s">
        <v>2116</v>
      </c>
      <c r="E697" s="80" t="s">
        <v>21</v>
      </c>
      <c r="F697" s="50" t="s">
        <v>98</v>
      </c>
      <c r="G697" s="50" t="s">
        <v>2117</v>
      </c>
      <c r="H697" s="88">
        <v>5324</v>
      </c>
      <c r="I697" s="88"/>
      <c r="J697" s="89"/>
      <c r="K697" s="89"/>
      <c r="L697" s="89">
        <f t="shared" si="20"/>
        <v>5324</v>
      </c>
      <c r="M697" s="87">
        <f t="shared" si="21"/>
        <v>5324</v>
      </c>
      <c r="N697" s="89"/>
      <c r="O697" s="89"/>
      <c r="P697" s="48">
        <v>41144</v>
      </c>
      <c r="Q697" s="68">
        <v>41631</v>
      </c>
      <c r="R697" s="49">
        <v>10976</v>
      </c>
    </row>
    <row r="698" spans="1:38" ht="38.25" x14ac:dyDescent="0.2">
      <c r="A698" s="45" t="s">
        <v>2118</v>
      </c>
      <c r="B698" s="45">
        <v>11807</v>
      </c>
      <c r="C698" s="50" t="s">
        <v>243</v>
      </c>
      <c r="D698" s="50" t="s">
        <v>2119</v>
      </c>
      <c r="E698" s="80" t="s">
        <v>21</v>
      </c>
      <c r="F698" s="50" t="s">
        <v>98</v>
      </c>
      <c r="G698" s="50" t="s">
        <v>2120</v>
      </c>
      <c r="H698" s="88">
        <v>5324</v>
      </c>
      <c r="I698" s="88"/>
      <c r="J698" s="89"/>
      <c r="K698" s="89"/>
      <c r="L698" s="89">
        <f t="shared" si="20"/>
        <v>5324</v>
      </c>
      <c r="M698" s="87">
        <f t="shared" si="21"/>
        <v>5324</v>
      </c>
      <c r="N698" s="89"/>
      <c r="O698" s="89"/>
      <c r="P698" s="48">
        <v>41144</v>
      </c>
      <c r="Q698" s="68">
        <v>41266</v>
      </c>
      <c r="R698" s="49">
        <v>10977</v>
      </c>
    </row>
    <row r="699" spans="1:38" ht="38.25" x14ac:dyDescent="0.2">
      <c r="A699" s="45" t="s">
        <v>2121</v>
      </c>
      <c r="B699" s="45">
        <v>26069</v>
      </c>
      <c r="C699" s="50" t="s">
        <v>263</v>
      </c>
      <c r="D699" s="50" t="s">
        <v>2122</v>
      </c>
      <c r="E699" s="80" t="s">
        <v>21</v>
      </c>
      <c r="F699" s="50" t="s">
        <v>193</v>
      </c>
      <c r="G699" s="50" t="s">
        <v>2123</v>
      </c>
      <c r="H699" s="88">
        <v>1950</v>
      </c>
      <c r="I699" s="88"/>
      <c r="J699" s="89"/>
      <c r="K699" s="89"/>
      <c r="L699" s="89">
        <f t="shared" si="20"/>
        <v>1950</v>
      </c>
      <c r="M699" s="87">
        <f t="shared" si="21"/>
        <v>1950</v>
      </c>
      <c r="N699" s="89"/>
      <c r="O699" s="89"/>
      <c r="P699" s="48">
        <v>41148</v>
      </c>
      <c r="Q699" s="68">
        <v>41270</v>
      </c>
      <c r="R699" s="49">
        <v>10978</v>
      </c>
    </row>
    <row r="700" spans="1:38" ht="38.25" x14ac:dyDescent="0.2">
      <c r="A700" s="45" t="s">
        <v>2124</v>
      </c>
      <c r="B700" s="45">
        <v>26093</v>
      </c>
      <c r="C700" s="50" t="s">
        <v>390</v>
      </c>
      <c r="D700" s="50" t="s">
        <v>681</v>
      </c>
      <c r="E700" s="80" t="s">
        <v>21</v>
      </c>
      <c r="F700" s="50" t="s">
        <v>398</v>
      </c>
      <c r="G700" s="50" t="s">
        <v>2125</v>
      </c>
      <c r="H700" s="88">
        <v>1920</v>
      </c>
      <c r="I700" s="88"/>
      <c r="J700" s="89"/>
      <c r="K700" s="89"/>
      <c r="L700" s="89">
        <f t="shared" si="20"/>
        <v>1920</v>
      </c>
      <c r="M700" s="87">
        <f t="shared" si="21"/>
        <v>1920</v>
      </c>
      <c r="N700" s="89"/>
      <c r="O700" s="89"/>
      <c r="P700" s="48">
        <v>41148</v>
      </c>
      <c r="Q700" s="68">
        <v>41270</v>
      </c>
      <c r="R700" s="49">
        <v>11061</v>
      </c>
    </row>
    <row r="701" spans="1:38" ht="38.25" x14ac:dyDescent="0.2">
      <c r="A701" s="45" t="s">
        <v>2126</v>
      </c>
      <c r="B701" s="45">
        <v>26039</v>
      </c>
      <c r="C701" s="50" t="s">
        <v>35</v>
      </c>
      <c r="D701" s="50" t="s">
        <v>2127</v>
      </c>
      <c r="E701" s="80" t="s">
        <v>21</v>
      </c>
      <c r="F701" s="50" t="s">
        <v>26</v>
      </c>
      <c r="G701" s="50" t="s">
        <v>2128</v>
      </c>
      <c r="H701" s="88">
        <v>1620</v>
      </c>
      <c r="I701" s="88"/>
      <c r="J701" s="89"/>
      <c r="K701" s="89"/>
      <c r="L701" s="89">
        <f t="shared" si="20"/>
        <v>1620</v>
      </c>
      <c r="M701" s="87">
        <f t="shared" si="21"/>
        <v>1620</v>
      </c>
      <c r="N701" s="89"/>
      <c r="O701" s="89"/>
      <c r="P701" s="48">
        <v>41150</v>
      </c>
      <c r="Q701" s="68">
        <v>41272</v>
      </c>
      <c r="R701" s="49">
        <v>11059</v>
      </c>
    </row>
    <row r="702" spans="1:38" ht="38.25" x14ac:dyDescent="0.2">
      <c r="A702" s="45" t="s">
        <v>2129</v>
      </c>
      <c r="B702" s="45">
        <v>26024</v>
      </c>
      <c r="C702" s="50" t="s">
        <v>35</v>
      </c>
      <c r="D702" s="50" t="s">
        <v>2130</v>
      </c>
      <c r="E702" s="80" t="s">
        <v>21</v>
      </c>
      <c r="F702" s="50" t="s">
        <v>63</v>
      </c>
      <c r="G702" s="50" t="s">
        <v>2131</v>
      </c>
      <c r="H702" s="88">
        <v>4875.8500000000004</v>
      </c>
      <c r="I702" s="88"/>
      <c r="J702" s="89"/>
      <c r="K702" s="89"/>
      <c r="L702" s="89">
        <f t="shared" si="20"/>
        <v>4875.8500000000004</v>
      </c>
      <c r="M702" s="87">
        <f t="shared" si="21"/>
        <v>4875.8500000000004</v>
      </c>
      <c r="N702" s="89"/>
      <c r="O702" s="89"/>
      <c r="P702" s="48">
        <v>41150</v>
      </c>
      <c r="Q702" s="68">
        <v>41272</v>
      </c>
      <c r="R702" s="49">
        <v>11058</v>
      </c>
    </row>
    <row r="703" spans="1:38" ht="38.25" x14ac:dyDescent="0.2">
      <c r="A703" s="45" t="s">
        <v>2132</v>
      </c>
      <c r="B703" s="45">
        <v>18904</v>
      </c>
      <c r="C703" s="50" t="s">
        <v>212</v>
      </c>
      <c r="D703" s="50" t="s">
        <v>2133</v>
      </c>
      <c r="E703" s="80" t="s">
        <v>21</v>
      </c>
      <c r="F703" s="50" t="s">
        <v>240</v>
      </c>
      <c r="G703" s="50" t="s">
        <v>2134</v>
      </c>
      <c r="H703" s="88">
        <v>2016.52</v>
      </c>
      <c r="I703" s="88"/>
      <c r="J703" s="89"/>
      <c r="K703" s="89"/>
      <c r="L703" s="89">
        <f t="shared" si="20"/>
        <v>2016.52</v>
      </c>
      <c r="M703" s="87">
        <f t="shared" si="21"/>
        <v>2016.52</v>
      </c>
      <c r="N703" s="89"/>
      <c r="O703" s="89"/>
      <c r="P703" s="48">
        <v>41156</v>
      </c>
      <c r="Q703" s="77">
        <v>41278</v>
      </c>
      <c r="R703" s="76">
        <v>11232</v>
      </c>
      <c r="AK703" s="2"/>
      <c r="AL703" s="2"/>
    </row>
    <row r="704" spans="1:38" ht="38.25" x14ac:dyDescent="0.2">
      <c r="A704" s="45" t="s">
        <v>2135</v>
      </c>
      <c r="B704" s="45">
        <v>25381</v>
      </c>
      <c r="C704" s="50" t="s">
        <v>35</v>
      </c>
      <c r="D704" s="50" t="s">
        <v>2136</v>
      </c>
      <c r="E704" s="80" t="s">
        <v>21</v>
      </c>
      <c r="F704" s="50" t="s">
        <v>87</v>
      </c>
      <c r="G704" s="50" t="s">
        <v>2137</v>
      </c>
      <c r="H704" s="88">
        <v>5232.5</v>
      </c>
      <c r="I704" s="88"/>
      <c r="J704" s="89"/>
      <c r="K704" s="89"/>
      <c r="L704" s="89">
        <f t="shared" si="20"/>
        <v>5232.5</v>
      </c>
      <c r="M704" s="87">
        <f t="shared" si="21"/>
        <v>5232.5</v>
      </c>
      <c r="N704" s="89"/>
      <c r="O704" s="89"/>
      <c r="P704" s="48">
        <v>41150</v>
      </c>
      <c r="Q704" s="68">
        <v>41272</v>
      </c>
      <c r="R704" s="49">
        <v>11056</v>
      </c>
    </row>
    <row r="705" spans="1:18" s="1" customFormat="1" ht="38.25" x14ac:dyDescent="0.2">
      <c r="A705" s="45" t="s">
        <v>2138</v>
      </c>
      <c r="B705" s="45">
        <v>25309</v>
      </c>
      <c r="C705" s="50" t="s">
        <v>35</v>
      </c>
      <c r="D705" s="50" t="s">
        <v>2139</v>
      </c>
      <c r="E705" s="80" t="s">
        <v>21</v>
      </c>
      <c r="F705" s="50" t="s">
        <v>87</v>
      </c>
      <c r="G705" s="50" t="s">
        <v>2140</v>
      </c>
      <c r="H705" s="88">
        <v>5232.5</v>
      </c>
      <c r="I705" s="88"/>
      <c r="J705" s="89"/>
      <c r="K705" s="89"/>
      <c r="L705" s="89">
        <f t="shared" si="20"/>
        <v>5232.5</v>
      </c>
      <c r="M705" s="87">
        <f t="shared" si="21"/>
        <v>5232.5</v>
      </c>
      <c r="N705" s="89"/>
      <c r="O705" s="89"/>
      <c r="P705" s="48">
        <v>41150</v>
      </c>
      <c r="Q705" s="68">
        <v>41272</v>
      </c>
      <c r="R705" s="49">
        <v>11055</v>
      </c>
    </row>
    <row r="706" spans="1:18" s="1" customFormat="1" ht="38.25" x14ac:dyDescent="0.2">
      <c r="A706" s="45" t="s">
        <v>2141</v>
      </c>
      <c r="B706" s="45">
        <v>26096</v>
      </c>
      <c r="C706" s="50" t="s">
        <v>35</v>
      </c>
      <c r="D706" s="50" t="s">
        <v>937</v>
      </c>
      <c r="E706" s="80" t="s">
        <v>21</v>
      </c>
      <c r="F706" s="50" t="s">
        <v>63</v>
      </c>
      <c r="G706" s="50" t="s">
        <v>2142</v>
      </c>
      <c r="H706" s="88">
        <v>5232.5</v>
      </c>
      <c r="I706" s="88"/>
      <c r="J706" s="89"/>
      <c r="K706" s="89"/>
      <c r="L706" s="89">
        <f t="shared" si="20"/>
        <v>5232.5</v>
      </c>
      <c r="M706" s="87">
        <f t="shared" si="21"/>
        <v>5232.5</v>
      </c>
      <c r="N706" s="89"/>
      <c r="O706" s="89"/>
      <c r="P706" s="48">
        <v>41150</v>
      </c>
      <c r="Q706" s="68">
        <v>41272</v>
      </c>
      <c r="R706" s="49">
        <v>11054</v>
      </c>
    </row>
    <row r="707" spans="1:18" s="1" customFormat="1" ht="38.25" x14ac:dyDescent="0.2">
      <c r="A707" s="45" t="s">
        <v>2143</v>
      </c>
      <c r="B707" s="45">
        <v>25928</v>
      </c>
      <c r="C707" s="50" t="s">
        <v>35</v>
      </c>
      <c r="D707" s="50" t="s">
        <v>2144</v>
      </c>
      <c r="E707" s="80" t="s">
        <v>21</v>
      </c>
      <c r="F707" s="50" t="s">
        <v>87</v>
      </c>
      <c r="G707" s="50" t="s">
        <v>2145</v>
      </c>
      <c r="H707" s="88">
        <v>6000</v>
      </c>
      <c r="I707" s="88"/>
      <c r="J707" s="89"/>
      <c r="K707" s="89"/>
      <c r="L707" s="89">
        <f t="shared" si="20"/>
        <v>6000</v>
      </c>
      <c r="M707" s="87">
        <f t="shared" si="21"/>
        <v>6000</v>
      </c>
      <c r="N707" s="89"/>
      <c r="O707" s="89"/>
      <c r="P707" s="48">
        <v>41150</v>
      </c>
      <c r="Q707" s="68">
        <v>41272</v>
      </c>
      <c r="R707" s="49">
        <v>11068</v>
      </c>
    </row>
    <row r="708" spans="1:18" s="1" customFormat="1" ht="38.25" x14ac:dyDescent="0.2">
      <c r="A708" s="45" t="s">
        <v>2146</v>
      </c>
      <c r="B708" s="45">
        <v>25976</v>
      </c>
      <c r="C708" s="50" t="s">
        <v>35</v>
      </c>
      <c r="D708" s="50" t="s">
        <v>2147</v>
      </c>
      <c r="E708" s="80" t="s">
        <v>21</v>
      </c>
      <c r="F708" s="50" t="s">
        <v>87</v>
      </c>
      <c r="G708" s="50" t="s">
        <v>2145</v>
      </c>
      <c r="H708" s="88">
        <v>6000</v>
      </c>
      <c r="I708" s="88"/>
      <c r="J708" s="89"/>
      <c r="K708" s="89"/>
      <c r="L708" s="89">
        <f t="shared" si="20"/>
        <v>6000</v>
      </c>
      <c r="M708" s="87">
        <f t="shared" si="21"/>
        <v>6000</v>
      </c>
      <c r="N708" s="89"/>
      <c r="O708" s="89"/>
      <c r="P708" s="48">
        <v>41150</v>
      </c>
      <c r="Q708" s="68">
        <v>41272</v>
      </c>
      <c r="R708" s="49">
        <v>11071</v>
      </c>
    </row>
    <row r="709" spans="1:18" s="1" customFormat="1" ht="38.25" x14ac:dyDescent="0.2">
      <c r="A709" s="45" t="s">
        <v>2148</v>
      </c>
      <c r="B709" s="45">
        <v>24597</v>
      </c>
      <c r="C709" s="50" t="s">
        <v>35</v>
      </c>
      <c r="D709" s="50" t="s">
        <v>2149</v>
      </c>
      <c r="E709" s="80" t="s">
        <v>21</v>
      </c>
      <c r="F709" s="50" t="s">
        <v>98</v>
      </c>
      <c r="G709" s="50" t="s">
        <v>2150</v>
      </c>
      <c r="H709" s="88">
        <v>2260</v>
      </c>
      <c r="I709" s="88"/>
      <c r="J709" s="89"/>
      <c r="K709" s="89"/>
      <c r="L709" s="89">
        <f t="shared" si="20"/>
        <v>2260</v>
      </c>
      <c r="M709" s="87">
        <f t="shared" si="21"/>
        <v>2260</v>
      </c>
      <c r="N709" s="89"/>
      <c r="O709" s="89"/>
      <c r="P709" s="48">
        <v>41150</v>
      </c>
      <c r="Q709" s="68">
        <v>41272</v>
      </c>
      <c r="R709" s="49">
        <v>11052</v>
      </c>
    </row>
    <row r="710" spans="1:18" s="1" customFormat="1" ht="38.25" x14ac:dyDescent="0.2">
      <c r="A710" s="45" t="s">
        <v>2151</v>
      </c>
      <c r="B710" s="45">
        <v>26085</v>
      </c>
      <c r="C710" s="50" t="s">
        <v>19</v>
      </c>
      <c r="D710" s="50" t="s">
        <v>2152</v>
      </c>
      <c r="E710" s="80" t="s">
        <v>21</v>
      </c>
      <c r="F710" s="50" t="s">
        <v>87</v>
      </c>
      <c r="G710" s="50" t="s">
        <v>2153</v>
      </c>
      <c r="H710" s="88">
        <v>3468.3</v>
      </c>
      <c r="I710" s="88"/>
      <c r="J710" s="89"/>
      <c r="K710" s="89"/>
      <c r="L710" s="89">
        <f t="shared" si="20"/>
        <v>3468.3</v>
      </c>
      <c r="M710" s="87">
        <f t="shared" si="21"/>
        <v>3468.3</v>
      </c>
      <c r="N710" s="89"/>
      <c r="O710" s="89"/>
      <c r="P710" s="48">
        <v>41141</v>
      </c>
      <c r="Q710" s="68">
        <v>41263</v>
      </c>
      <c r="R710" s="49">
        <v>11091</v>
      </c>
    </row>
    <row r="711" spans="1:18" s="1" customFormat="1" ht="38.25" x14ac:dyDescent="0.2">
      <c r="A711" s="45" t="s">
        <v>2154</v>
      </c>
      <c r="B711" s="45">
        <v>25382</v>
      </c>
      <c r="C711" s="50" t="s">
        <v>19</v>
      </c>
      <c r="D711" s="50" t="s">
        <v>2155</v>
      </c>
      <c r="E711" s="80" t="s">
        <v>21</v>
      </c>
      <c r="F711" s="50" t="s">
        <v>240</v>
      </c>
      <c r="G711" s="50" t="s">
        <v>2156</v>
      </c>
      <c r="H711" s="88">
        <v>1874</v>
      </c>
      <c r="I711" s="88"/>
      <c r="J711" s="89"/>
      <c r="K711" s="89"/>
      <c r="L711" s="89">
        <f t="shared" ref="L711:L774" si="22">H711+I711+J711+K711</f>
        <v>1874</v>
      </c>
      <c r="M711" s="87">
        <f t="shared" ref="M711:M774" si="23">SUM(L711)</f>
        <v>1874</v>
      </c>
      <c r="N711" s="89"/>
      <c r="O711" s="89"/>
      <c r="P711" s="48">
        <v>41141</v>
      </c>
      <c r="Q711" s="68">
        <v>41263</v>
      </c>
      <c r="R711" s="49">
        <v>11086</v>
      </c>
    </row>
    <row r="712" spans="1:18" s="1" customFormat="1" ht="38.25" x14ac:dyDescent="0.2">
      <c r="A712" s="45" t="s">
        <v>2157</v>
      </c>
      <c r="B712" s="45">
        <v>26131</v>
      </c>
      <c r="C712" s="50" t="s">
        <v>19</v>
      </c>
      <c r="D712" s="50" t="s">
        <v>2158</v>
      </c>
      <c r="E712" s="80" t="s">
        <v>21</v>
      </c>
      <c r="F712" s="50" t="s">
        <v>71</v>
      </c>
      <c r="G712" s="50" t="s">
        <v>2159</v>
      </c>
      <c r="H712" s="88">
        <v>5640</v>
      </c>
      <c r="I712" s="88"/>
      <c r="J712" s="89"/>
      <c r="K712" s="89"/>
      <c r="L712" s="89">
        <f t="shared" si="22"/>
        <v>5640</v>
      </c>
      <c r="M712" s="87">
        <f t="shared" si="23"/>
        <v>5640</v>
      </c>
      <c r="N712" s="89"/>
      <c r="O712" s="89"/>
      <c r="P712" s="48">
        <v>41141</v>
      </c>
      <c r="Q712" s="68">
        <v>41263</v>
      </c>
      <c r="R712" s="49">
        <v>11084</v>
      </c>
    </row>
    <row r="713" spans="1:18" s="1" customFormat="1" ht="38.25" x14ac:dyDescent="0.2">
      <c r="A713" s="45" t="s">
        <v>2160</v>
      </c>
      <c r="B713" s="45">
        <v>26078</v>
      </c>
      <c r="C713" s="50" t="s">
        <v>19</v>
      </c>
      <c r="D713" s="50" t="s">
        <v>2161</v>
      </c>
      <c r="E713" s="80" t="s">
        <v>21</v>
      </c>
      <c r="F713" s="50" t="s">
        <v>87</v>
      </c>
      <c r="G713" s="50" t="s">
        <v>2145</v>
      </c>
      <c r="H713" s="88">
        <v>5416</v>
      </c>
      <c r="I713" s="88"/>
      <c r="J713" s="89"/>
      <c r="K713" s="89"/>
      <c r="L713" s="89">
        <f t="shared" si="22"/>
        <v>5416</v>
      </c>
      <c r="M713" s="87">
        <f t="shared" si="23"/>
        <v>5416</v>
      </c>
      <c r="N713" s="89"/>
      <c r="O713" s="89"/>
      <c r="P713" s="48">
        <v>41141</v>
      </c>
      <c r="Q713" s="68">
        <v>41263</v>
      </c>
      <c r="R713" s="49">
        <v>11093</v>
      </c>
    </row>
    <row r="714" spans="1:18" s="1" customFormat="1" ht="38.25" x14ac:dyDescent="0.2">
      <c r="A714" s="45" t="s">
        <v>2162</v>
      </c>
      <c r="B714" s="45">
        <v>26135</v>
      </c>
      <c r="C714" s="50" t="s">
        <v>19</v>
      </c>
      <c r="D714" s="50" t="s">
        <v>2163</v>
      </c>
      <c r="E714" s="80" t="s">
        <v>21</v>
      </c>
      <c r="F714" s="50" t="s">
        <v>71</v>
      </c>
      <c r="G714" s="50" t="s">
        <v>2164</v>
      </c>
      <c r="H714" s="88">
        <v>1760</v>
      </c>
      <c r="I714" s="88"/>
      <c r="J714" s="89"/>
      <c r="K714" s="89"/>
      <c r="L714" s="89">
        <f t="shared" si="22"/>
        <v>1760</v>
      </c>
      <c r="M714" s="87">
        <f t="shared" si="23"/>
        <v>1760</v>
      </c>
      <c r="N714" s="89"/>
      <c r="O714" s="89"/>
      <c r="P714" s="48">
        <v>41141</v>
      </c>
      <c r="Q714" s="68">
        <v>41263</v>
      </c>
      <c r="R714" s="49">
        <v>11081</v>
      </c>
    </row>
    <row r="715" spans="1:18" s="1" customFormat="1" ht="38.25" x14ac:dyDescent="0.2">
      <c r="A715" s="45" t="s">
        <v>2165</v>
      </c>
      <c r="B715" s="45">
        <v>26136</v>
      </c>
      <c r="C715" s="50" t="s">
        <v>19</v>
      </c>
      <c r="D715" s="50" t="s">
        <v>2166</v>
      </c>
      <c r="E715" s="80" t="s">
        <v>21</v>
      </c>
      <c r="F715" s="50" t="s">
        <v>240</v>
      </c>
      <c r="G715" s="50" t="s">
        <v>2164</v>
      </c>
      <c r="H715" s="88">
        <v>1760</v>
      </c>
      <c r="I715" s="88"/>
      <c r="J715" s="89"/>
      <c r="K715" s="89"/>
      <c r="L715" s="89">
        <f t="shared" si="22"/>
        <v>1760</v>
      </c>
      <c r="M715" s="87">
        <f t="shared" si="23"/>
        <v>1760</v>
      </c>
      <c r="N715" s="89"/>
      <c r="O715" s="89"/>
      <c r="P715" s="48">
        <v>41141</v>
      </c>
      <c r="Q715" s="68">
        <v>41263</v>
      </c>
      <c r="R715" s="49">
        <v>11094</v>
      </c>
    </row>
    <row r="716" spans="1:18" s="1" customFormat="1" ht="38.25" x14ac:dyDescent="0.2">
      <c r="A716" s="45" t="s">
        <v>2167</v>
      </c>
      <c r="B716" s="45">
        <v>19435</v>
      </c>
      <c r="C716" s="50" t="s">
        <v>19</v>
      </c>
      <c r="D716" s="50" t="s">
        <v>2168</v>
      </c>
      <c r="E716" s="80" t="s">
        <v>21</v>
      </c>
      <c r="F716" s="50" t="s">
        <v>63</v>
      </c>
      <c r="G716" s="50" t="s">
        <v>2169</v>
      </c>
      <c r="H716" s="88">
        <v>1900</v>
      </c>
      <c r="I716" s="88"/>
      <c r="J716" s="89"/>
      <c r="K716" s="89"/>
      <c r="L716" s="89">
        <f t="shared" si="22"/>
        <v>1900</v>
      </c>
      <c r="M716" s="87">
        <f t="shared" si="23"/>
        <v>1900</v>
      </c>
      <c r="N716" s="89"/>
      <c r="O716" s="89"/>
      <c r="P716" s="48">
        <v>41141</v>
      </c>
      <c r="Q716" s="68">
        <v>41263</v>
      </c>
      <c r="R716" s="49">
        <v>11080</v>
      </c>
    </row>
    <row r="717" spans="1:18" s="1" customFormat="1" ht="51" x14ac:dyDescent="0.2">
      <c r="A717" s="45" t="s">
        <v>2170</v>
      </c>
      <c r="B717" s="45">
        <v>26087</v>
      </c>
      <c r="C717" s="50" t="s">
        <v>66</v>
      </c>
      <c r="D717" s="50" t="s">
        <v>2171</v>
      </c>
      <c r="E717" s="80" t="s">
        <v>21</v>
      </c>
      <c r="F717" s="50" t="s">
        <v>121</v>
      </c>
      <c r="G717" s="50" t="s">
        <v>2172</v>
      </c>
      <c r="H717" s="88">
        <v>5200</v>
      </c>
      <c r="I717" s="88"/>
      <c r="J717" s="89"/>
      <c r="K717" s="89"/>
      <c r="L717" s="89">
        <f t="shared" si="22"/>
        <v>5200</v>
      </c>
      <c r="M717" s="87">
        <f t="shared" si="23"/>
        <v>5200</v>
      </c>
      <c r="N717" s="89"/>
      <c r="O717" s="89"/>
      <c r="P717" s="48">
        <v>41143</v>
      </c>
      <c r="Q717" s="68">
        <v>41265</v>
      </c>
      <c r="R717" s="49">
        <v>10966</v>
      </c>
    </row>
    <row r="718" spans="1:18" s="1" customFormat="1" ht="51" x14ac:dyDescent="0.2">
      <c r="A718" s="45" t="s">
        <v>2173</v>
      </c>
      <c r="B718" s="45">
        <v>13869</v>
      </c>
      <c r="C718" s="50" t="s">
        <v>66</v>
      </c>
      <c r="D718" s="50" t="s">
        <v>2174</v>
      </c>
      <c r="E718" s="80" t="s">
        <v>21</v>
      </c>
      <c r="F718" s="50" t="s">
        <v>121</v>
      </c>
      <c r="G718" s="50" t="s">
        <v>2172</v>
      </c>
      <c r="H718" s="88">
        <v>5200</v>
      </c>
      <c r="I718" s="88"/>
      <c r="J718" s="89"/>
      <c r="K718" s="89"/>
      <c r="L718" s="89">
        <f t="shared" si="22"/>
        <v>5200</v>
      </c>
      <c r="M718" s="87">
        <f t="shared" si="23"/>
        <v>5200</v>
      </c>
      <c r="N718" s="89"/>
      <c r="O718" s="89"/>
      <c r="P718" s="48">
        <v>41143</v>
      </c>
      <c r="Q718" s="68">
        <v>41265</v>
      </c>
      <c r="R718" s="49">
        <v>11137</v>
      </c>
    </row>
    <row r="719" spans="1:18" s="1" customFormat="1" ht="51" x14ac:dyDescent="0.2">
      <c r="A719" s="45" t="s">
        <v>2175</v>
      </c>
      <c r="B719" s="45">
        <v>26077</v>
      </c>
      <c r="C719" s="50" t="s">
        <v>66</v>
      </c>
      <c r="D719" s="50" t="s">
        <v>2176</v>
      </c>
      <c r="E719" s="80" t="s">
        <v>21</v>
      </c>
      <c r="F719" s="50" t="s">
        <v>121</v>
      </c>
      <c r="G719" s="50" t="s">
        <v>2172</v>
      </c>
      <c r="H719" s="88">
        <v>5200</v>
      </c>
      <c r="I719" s="88"/>
      <c r="J719" s="89"/>
      <c r="K719" s="89"/>
      <c r="L719" s="89">
        <f t="shared" si="22"/>
        <v>5200</v>
      </c>
      <c r="M719" s="87">
        <f t="shared" si="23"/>
        <v>5200</v>
      </c>
      <c r="N719" s="89"/>
      <c r="O719" s="89"/>
      <c r="P719" s="48">
        <v>41143</v>
      </c>
      <c r="Q719" s="68">
        <v>41265</v>
      </c>
      <c r="R719" s="49">
        <v>11136</v>
      </c>
    </row>
    <row r="720" spans="1:18" s="1" customFormat="1" ht="38.25" x14ac:dyDescent="0.2">
      <c r="A720" s="45" t="s">
        <v>2177</v>
      </c>
      <c r="B720" s="45">
        <v>24477</v>
      </c>
      <c r="C720" s="50" t="s">
        <v>66</v>
      </c>
      <c r="D720" s="50" t="s">
        <v>328</v>
      </c>
      <c r="E720" s="80" t="s">
        <v>21</v>
      </c>
      <c r="F720" s="50" t="s">
        <v>26</v>
      </c>
      <c r="G720" s="50" t="s">
        <v>2178</v>
      </c>
      <c r="H720" s="88">
        <v>1600</v>
      </c>
      <c r="I720" s="88"/>
      <c r="J720" s="89"/>
      <c r="K720" s="89"/>
      <c r="L720" s="89">
        <f t="shared" si="22"/>
        <v>1600</v>
      </c>
      <c r="M720" s="87">
        <f t="shared" si="23"/>
        <v>1600</v>
      </c>
      <c r="N720" s="89"/>
      <c r="O720" s="89"/>
      <c r="P720" s="48">
        <v>41150</v>
      </c>
      <c r="Q720" s="68">
        <v>41272</v>
      </c>
      <c r="R720" s="49">
        <v>11050</v>
      </c>
    </row>
    <row r="721" spans="1:38" ht="51" x14ac:dyDescent="0.2">
      <c r="A721" s="45" t="s">
        <v>2179</v>
      </c>
      <c r="B721" s="45">
        <v>26140</v>
      </c>
      <c r="C721" s="50" t="s">
        <v>66</v>
      </c>
      <c r="D721" s="50" t="s">
        <v>2180</v>
      </c>
      <c r="E721" s="80" t="s">
        <v>21</v>
      </c>
      <c r="F721" s="50" t="s">
        <v>98</v>
      </c>
      <c r="G721" s="50" t="s">
        <v>2181</v>
      </c>
      <c r="H721" s="88">
        <v>5778.8</v>
      </c>
      <c r="I721" s="88"/>
      <c r="J721" s="89"/>
      <c r="K721" s="89"/>
      <c r="L721" s="89">
        <f t="shared" si="22"/>
        <v>5778.8</v>
      </c>
      <c r="M721" s="87">
        <f t="shared" si="23"/>
        <v>5778.8</v>
      </c>
      <c r="N721" s="89"/>
      <c r="O721" s="89"/>
      <c r="P721" s="48">
        <v>41143</v>
      </c>
      <c r="Q721" s="68">
        <v>41265</v>
      </c>
      <c r="R721" s="49">
        <v>10992</v>
      </c>
    </row>
    <row r="722" spans="1:38" ht="38.25" x14ac:dyDescent="0.2">
      <c r="A722" s="45" t="s">
        <v>2182</v>
      </c>
      <c r="B722" s="45">
        <v>25924</v>
      </c>
      <c r="C722" s="50" t="s">
        <v>66</v>
      </c>
      <c r="D722" s="50" t="s">
        <v>2183</v>
      </c>
      <c r="E722" s="80" t="s">
        <v>21</v>
      </c>
      <c r="F722" s="50" t="s">
        <v>22</v>
      </c>
      <c r="G722" s="50" t="s">
        <v>2184</v>
      </c>
      <c r="H722" s="88">
        <v>4846.88</v>
      </c>
      <c r="I722" s="88"/>
      <c r="J722" s="89"/>
      <c r="K722" s="89"/>
      <c r="L722" s="89">
        <f t="shared" si="22"/>
        <v>4846.88</v>
      </c>
      <c r="M722" s="87">
        <f t="shared" si="23"/>
        <v>4846.88</v>
      </c>
      <c r="N722" s="89"/>
      <c r="O722" s="89"/>
      <c r="P722" s="48">
        <v>41143</v>
      </c>
      <c r="Q722" s="68">
        <v>41265</v>
      </c>
      <c r="R722" s="49">
        <v>11135</v>
      </c>
    </row>
    <row r="723" spans="1:38" ht="38.25" x14ac:dyDescent="0.2">
      <c r="A723" s="45" t="s">
        <v>2185</v>
      </c>
      <c r="B723" s="45">
        <v>26138</v>
      </c>
      <c r="C723" s="50" t="s">
        <v>231</v>
      </c>
      <c r="D723" s="50" t="s">
        <v>1229</v>
      </c>
      <c r="E723" s="80" t="s">
        <v>21</v>
      </c>
      <c r="F723" s="50" t="s">
        <v>167</v>
      </c>
      <c r="G723" s="50" t="s">
        <v>2186</v>
      </c>
      <c r="H723" s="88">
        <v>1200</v>
      </c>
      <c r="I723" s="88"/>
      <c r="J723" s="89"/>
      <c r="K723" s="89"/>
      <c r="L723" s="89">
        <f t="shared" si="22"/>
        <v>1200</v>
      </c>
      <c r="M723" s="87">
        <f t="shared" si="23"/>
        <v>1200</v>
      </c>
      <c r="N723" s="89"/>
      <c r="O723" s="89"/>
      <c r="P723" s="48">
        <v>41158</v>
      </c>
      <c r="Q723" s="68">
        <v>41280</v>
      </c>
      <c r="R723" s="49">
        <v>11231</v>
      </c>
    </row>
    <row r="724" spans="1:38" ht="38.25" x14ac:dyDescent="0.2">
      <c r="A724" s="45" t="s">
        <v>2187</v>
      </c>
      <c r="B724" s="45">
        <v>26101</v>
      </c>
      <c r="C724" s="50" t="s">
        <v>231</v>
      </c>
      <c r="D724" s="50" t="s">
        <v>2188</v>
      </c>
      <c r="E724" s="80" t="s">
        <v>21</v>
      </c>
      <c r="F724" s="50" t="s">
        <v>167</v>
      </c>
      <c r="G724" s="50" t="s">
        <v>2186</v>
      </c>
      <c r="H724" s="88">
        <v>720</v>
      </c>
      <c r="I724" s="88"/>
      <c r="J724" s="89"/>
      <c r="K724" s="89"/>
      <c r="L724" s="89">
        <f t="shared" si="22"/>
        <v>720</v>
      </c>
      <c r="M724" s="87">
        <f t="shared" si="23"/>
        <v>720</v>
      </c>
      <c r="N724" s="89"/>
      <c r="O724" s="89"/>
      <c r="P724" s="48">
        <v>41158</v>
      </c>
      <c r="Q724" s="68">
        <v>41280</v>
      </c>
      <c r="R724" s="49">
        <v>11235</v>
      </c>
    </row>
    <row r="725" spans="1:38" ht="38.25" x14ac:dyDescent="0.2">
      <c r="A725" s="45" t="s">
        <v>2189</v>
      </c>
      <c r="B725" s="45">
        <v>26114</v>
      </c>
      <c r="C725" s="50" t="s">
        <v>231</v>
      </c>
      <c r="D725" s="50" t="s">
        <v>2190</v>
      </c>
      <c r="E725" s="80" t="s">
        <v>21</v>
      </c>
      <c r="F725" s="50" t="s">
        <v>71</v>
      </c>
      <c r="G725" s="50" t="s">
        <v>2191</v>
      </c>
      <c r="H725" s="88">
        <v>800</v>
      </c>
      <c r="I725" s="88"/>
      <c r="J725" s="89"/>
      <c r="K725" s="89"/>
      <c r="L725" s="89">
        <f t="shared" si="22"/>
        <v>800</v>
      </c>
      <c r="M725" s="87">
        <f t="shared" si="23"/>
        <v>800</v>
      </c>
      <c r="N725" s="89"/>
      <c r="O725" s="89"/>
      <c r="P725" s="48">
        <v>41158</v>
      </c>
      <c r="Q725" s="68">
        <v>41280</v>
      </c>
      <c r="R725" s="49">
        <v>11230</v>
      </c>
    </row>
    <row r="726" spans="1:38" ht="38.25" x14ac:dyDescent="0.2">
      <c r="A726" s="45" t="s">
        <v>2192</v>
      </c>
      <c r="B726" s="45">
        <v>23827</v>
      </c>
      <c r="C726" s="50" t="s">
        <v>231</v>
      </c>
      <c r="D726" s="50" t="s">
        <v>2193</v>
      </c>
      <c r="E726" s="80" t="s">
        <v>21</v>
      </c>
      <c r="F726" s="50" t="s">
        <v>71</v>
      </c>
      <c r="G726" s="50" t="s">
        <v>2194</v>
      </c>
      <c r="H726" s="88">
        <v>5936.4</v>
      </c>
      <c r="I726" s="88"/>
      <c r="J726" s="89"/>
      <c r="K726" s="89"/>
      <c r="L726" s="89">
        <f t="shared" si="22"/>
        <v>5936.4</v>
      </c>
      <c r="M726" s="87">
        <f t="shared" si="23"/>
        <v>5936.4</v>
      </c>
      <c r="N726" s="89"/>
      <c r="O726" s="89"/>
      <c r="P726" s="48">
        <v>41158</v>
      </c>
      <c r="Q726" s="68">
        <v>41280</v>
      </c>
      <c r="R726" s="49">
        <v>11212</v>
      </c>
    </row>
    <row r="727" spans="1:38" ht="38.25" x14ac:dyDescent="0.2">
      <c r="A727" s="45" t="s">
        <v>2195</v>
      </c>
      <c r="B727" s="45">
        <v>26033</v>
      </c>
      <c r="C727" s="50" t="s">
        <v>231</v>
      </c>
      <c r="D727" s="50" t="s">
        <v>1606</v>
      </c>
      <c r="E727" s="80" t="s">
        <v>21</v>
      </c>
      <c r="F727" s="50" t="s">
        <v>71</v>
      </c>
      <c r="G727" s="50" t="s">
        <v>2196</v>
      </c>
      <c r="H727" s="88">
        <v>5870</v>
      </c>
      <c r="I727" s="88"/>
      <c r="J727" s="89"/>
      <c r="K727" s="89"/>
      <c r="L727" s="89">
        <f t="shared" si="22"/>
        <v>5870</v>
      </c>
      <c r="M727" s="87">
        <f t="shared" si="23"/>
        <v>5870</v>
      </c>
      <c r="N727" s="89"/>
      <c r="O727" s="89"/>
      <c r="P727" s="48">
        <v>41158</v>
      </c>
      <c r="Q727" s="68">
        <v>41280</v>
      </c>
      <c r="R727" s="49">
        <v>11229</v>
      </c>
    </row>
    <row r="728" spans="1:38" ht="51" x14ac:dyDescent="0.2">
      <c r="A728" s="45" t="s">
        <v>2197</v>
      </c>
      <c r="B728" s="45">
        <v>26045</v>
      </c>
      <c r="C728" s="50" t="s">
        <v>349</v>
      </c>
      <c r="D728" s="50" t="s">
        <v>2198</v>
      </c>
      <c r="E728" s="80" t="s">
        <v>21</v>
      </c>
      <c r="F728" s="50" t="s">
        <v>71</v>
      </c>
      <c r="G728" s="50" t="s">
        <v>2199</v>
      </c>
      <c r="H728" s="88">
        <v>1212</v>
      </c>
      <c r="I728" s="88"/>
      <c r="J728" s="89"/>
      <c r="K728" s="89"/>
      <c r="L728" s="89">
        <f t="shared" si="22"/>
        <v>1212</v>
      </c>
      <c r="M728" s="87">
        <f t="shared" si="23"/>
        <v>1212</v>
      </c>
      <c r="N728" s="89"/>
      <c r="O728" s="89"/>
      <c r="P728" s="48">
        <v>41183</v>
      </c>
      <c r="Q728" s="68">
        <v>41306</v>
      </c>
      <c r="R728" s="49">
        <v>11287</v>
      </c>
    </row>
    <row r="729" spans="1:38" s="44" customFormat="1" ht="38.25" x14ac:dyDescent="0.2">
      <c r="A729" s="65" t="s">
        <v>2200</v>
      </c>
      <c r="B729" s="65">
        <v>26121</v>
      </c>
      <c r="C729" s="85" t="s">
        <v>113</v>
      </c>
      <c r="D729" s="85" t="s">
        <v>1079</v>
      </c>
      <c r="E729" s="85" t="s">
        <v>21</v>
      </c>
      <c r="F729" s="85" t="s">
        <v>22</v>
      </c>
      <c r="G729" s="85" t="s">
        <v>2201</v>
      </c>
      <c r="H729" s="95">
        <v>4352</v>
      </c>
      <c r="I729" s="95"/>
      <c r="J729" s="96"/>
      <c r="K729" s="96"/>
      <c r="L729" s="96">
        <f t="shared" si="22"/>
        <v>4352</v>
      </c>
      <c r="M729" s="97"/>
      <c r="N729" s="96"/>
      <c r="O729" s="96"/>
      <c r="P729" s="67"/>
      <c r="Q729" s="71"/>
      <c r="R729" s="66"/>
      <c r="S729" s="43"/>
      <c r="T729" s="43"/>
      <c r="U729" s="43"/>
      <c r="V729" s="43"/>
      <c r="W729" s="43"/>
      <c r="X729" s="43"/>
      <c r="Y729" s="43"/>
      <c r="Z729" s="43"/>
      <c r="AA729" s="43"/>
      <c r="AB729" s="43"/>
      <c r="AC729" s="43"/>
      <c r="AD729" s="43"/>
      <c r="AE729" s="43"/>
      <c r="AF729" s="43"/>
      <c r="AG729" s="43"/>
      <c r="AH729" s="43"/>
      <c r="AI729" s="43"/>
      <c r="AJ729" s="43"/>
      <c r="AK729" s="43"/>
      <c r="AL729" s="43"/>
    </row>
    <row r="730" spans="1:38" ht="38.25" x14ac:dyDescent="0.2">
      <c r="A730" s="45" t="s">
        <v>2202</v>
      </c>
      <c r="B730" s="45">
        <v>26071</v>
      </c>
      <c r="C730" s="50" t="s">
        <v>212</v>
      </c>
      <c r="D730" s="50" t="s">
        <v>2203</v>
      </c>
      <c r="E730" s="80" t="s">
        <v>21</v>
      </c>
      <c r="F730" s="50" t="s">
        <v>240</v>
      </c>
      <c r="G730" s="50" t="s">
        <v>2204</v>
      </c>
      <c r="H730" s="88">
        <v>1570</v>
      </c>
      <c r="I730" s="88"/>
      <c r="J730" s="89"/>
      <c r="K730" s="89"/>
      <c r="L730" s="89">
        <f t="shared" si="22"/>
        <v>1570</v>
      </c>
      <c r="M730" s="87">
        <f t="shared" si="23"/>
        <v>1570</v>
      </c>
      <c r="N730" s="89"/>
      <c r="O730" s="89"/>
      <c r="P730" s="48">
        <v>41156</v>
      </c>
      <c r="Q730" s="68">
        <v>41278</v>
      </c>
      <c r="R730" s="49">
        <v>11266</v>
      </c>
    </row>
    <row r="731" spans="1:38" ht="38.25" x14ac:dyDescent="0.2">
      <c r="A731" s="45" t="s">
        <v>2205</v>
      </c>
      <c r="B731" s="45">
        <v>26048</v>
      </c>
      <c r="C731" s="50" t="s">
        <v>212</v>
      </c>
      <c r="D731" s="50" t="s">
        <v>2206</v>
      </c>
      <c r="E731" s="80" t="s">
        <v>21</v>
      </c>
      <c r="F731" s="50" t="s">
        <v>71</v>
      </c>
      <c r="G731" s="50" t="s">
        <v>2207</v>
      </c>
      <c r="H731" s="88">
        <v>5763.34</v>
      </c>
      <c r="I731" s="88"/>
      <c r="J731" s="89"/>
      <c r="K731" s="89"/>
      <c r="L731" s="89">
        <f t="shared" si="22"/>
        <v>5763.34</v>
      </c>
      <c r="M731" s="87">
        <f t="shared" si="23"/>
        <v>5763.34</v>
      </c>
      <c r="N731" s="89"/>
      <c r="O731" s="89"/>
      <c r="P731" s="48">
        <v>41156</v>
      </c>
      <c r="Q731" s="68">
        <v>41278</v>
      </c>
      <c r="R731" s="49">
        <v>11219</v>
      </c>
    </row>
    <row r="732" spans="1:38" ht="38.25" x14ac:dyDescent="0.2">
      <c r="A732" s="45" t="s">
        <v>2208</v>
      </c>
      <c r="B732" s="45">
        <v>26107</v>
      </c>
      <c r="C732" s="50" t="s">
        <v>212</v>
      </c>
      <c r="D732" s="50" t="s">
        <v>2209</v>
      </c>
      <c r="E732" s="80" t="s">
        <v>21</v>
      </c>
      <c r="F732" s="50" t="s">
        <v>193</v>
      </c>
      <c r="G732" s="50" t="s">
        <v>2210</v>
      </c>
      <c r="H732" s="88">
        <v>1580</v>
      </c>
      <c r="I732" s="88"/>
      <c r="J732" s="89"/>
      <c r="K732" s="89"/>
      <c r="L732" s="89">
        <f t="shared" si="22"/>
        <v>1580</v>
      </c>
      <c r="M732" s="87">
        <f t="shared" si="23"/>
        <v>1580</v>
      </c>
      <c r="N732" s="89"/>
      <c r="O732" s="89"/>
      <c r="P732" s="48">
        <v>41156</v>
      </c>
      <c r="Q732" s="68">
        <v>41278</v>
      </c>
      <c r="R732" s="49">
        <v>11234</v>
      </c>
    </row>
    <row r="733" spans="1:38" ht="38.25" x14ac:dyDescent="0.2">
      <c r="A733" s="45" t="s">
        <v>2211</v>
      </c>
      <c r="B733" s="45">
        <v>25526</v>
      </c>
      <c r="C733" s="50" t="s">
        <v>35</v>
      </c>
      <c r="D733" s="50" t="s">
        <v>2212</v>
      </c>
      <c r="E733" s="80" t="s">
        <v>21</v>
      </c>
      <c r="F733" s="50" t="s">
        <v>193</v>
      </c>
      <c r="G733" s="50" t="s">
        <v>2213</v>
      </c>
      <c r="H733" s="88">
        <v>6000</v>
      </c>
      <c r="I733" s="88"/>
      <c r="J733" s="89"/>
      <c r="K733" s="89"/>
      <c r="L733" s="89">
        <f t="shared" si="22"/>
        <v>6000</v>
      </c>
      <c r="M733" s="87">
        <f t="shared" si="23"/>
        <v>6000</v>
      </c>
      <c r="N733" s="89"/>
      <c r="O733" s="89"/>
      <c r="P733" s="48">
        <v>41156</v>
      </c>
      <c r="Q733" s="68">
        <v>41278</v>
      </c>
      <c r="R733" s="49">
        <v>11267</v>
      </c>
    </row>
    <row r="734" spans="1:38" ht="38.25" x14ac:dyDescent="0.2">
      <c r="A734" s="45" t="s">
        <v>2214</v>
      </c>
      <c r="B734" s="45">
        <v>26112</v>
      </c>
      <c r="C734" s="50" t="s">
        <v>574</v>
      </c>
      <c r="D734" s="50" t="s">
        <v>2215</v>
      </c>
      <c r="E734" s="80" t="s">
        <v>21</v>
      </c>
      <c r="F734" s="50" t="s">
        <v>45</v>
      </c>
      <c r="G734" s="50" t="s">
        <v>2216</v>
      </c>
      <c r="H734" s="88">
        <v>1540</v>
      </c>
      <c r="I734" s="88"/>
      <c r="J734" s="89"/>
      <c r="K734" s="89"/>
      <c r="L734" s="89">
        <f t="shared" si="22"/>
        <v>1540</v>
      </c>
      <c r="M734" s="87">
        <f t="shared" si="23"/>
        <v>1540</v>
      </c>
      <c r="N734" s="89"/>
      <c r="O734" s="89"/>
      <c r="P734" s="48">
        <v>41148</v>
      </c>
      <c r="Q734" s="68">
        <v>41270</v>
      </c>
      <c r="R734" s="49">
        <v>11046</v>
      </c>
    </row>
    <row r="735" spans="1:38" ht="38.25" x14ac:dyDescent="0.2">
      <c r="A735" s="45" t="s">
        <v>2217</v>
      </c>
      <c r="B735" s="45">
        <v>26070</v>
      </c>
      <c r="C735" s="50" t="s">
        <v>390</v>
      </c>
      <c r="D735" s="50" t="s">
        <v>678</v>
      </c>
      <c r="E735" s="80" t="s">
        <v>21</v>
      </c>
      <c r="F735" s="50" t="s">
        <v>398</v>
      </c>
      <c r="G735" s="50" t="s">
        <v>2218</v>
      </c>
      <c r="H735" s="88">
        <v>1920</v>
      </c>
      <c r="I735" s="88"/>
      <c r="J735" s="89"/>
      <c r="K735" s="89"/>
      <c r="L735" s="89">
        <f t="shared" si="22"/>
        <v>1920</v>
      </c>
      <c r="M735" s="87">
        <f t="shared" si="23"/>
        <v>1920</v>
      </c>
      <c r="N735" s="89"/>
      <c r="O735" s="89"/>
      <c r="P735" s="48">
        <v>41148</v>
      </c>
      <c r="Q735" s="68">
        <v>41270</v>
      </c>
      <c r="R735" s="49">
        <v>11066</v>
      </c>
    </row>
    <row r="736" spans="1:38" ht="38.25" x14ac:dyDescent="0.2">
      <c r="A736" s="45" t="s">
        <v>2219</v>
      </c>
      <c r="B736" s="45">
        <v>26119</v>
      </c>
      <c r="C736" s="50" t="s">
        <v>66</v>
      </c>
      <c r="D736" s="50" t="s">
        <v>2220</v>
      </c>
      <c r="E736" s="80" t="s">
        <v>21</v>
      </c>
      <c r="F736" s="50" t="s">
        <v>193</v>
      </c>
      <c r="G736" s="50" t="s">
        <v>2221</v>
      </c>
      <c r="H736" s="88">
        <v>2080</v>
      </c>
      <c r="I736" s="88"/>
      <c r="J736" s="89"/>
      <c r="K736" s="89"/>
      <c r="L736" s="89">
        <f t="shared" si="22"/>
        <v>2080</v>
      </c>
      <c r="M736" s="87">
        <f t="shared" si="23"/>
        <v>2080</v>
      </c>
      <c r="N736" s="89"/>
      <c r="O736" s="89"/>
      <c r="P736" s="48">
        <v>41144</v>
      </c>
      <c r="Q736" s="68">
        <v>41266</v>
      </c>
      <c r="R736" s="49">
        <v>11099</v>
      </c>
    </row>
    <row r="737" spans="1:18" s="1" customFormat="1" ht="25.5" x14ac:dyDescent="0.2">
      <c r="A737" s="45" t="s">
        <v>2222</v>
      </c>
      <c r="B737" s="64">
        <v>33582</v>
      </c>
      <c r="C737" s="50" t="s">
        <v>1129</v>
      </c>
      <c r="D737" s="50" t="s">
        <v>2223</v>
      </c>
      <c r="E737" s="80" t="s">
        <v>2224</v>
      </c>
      <c r="F737" s="81" t="s">
        <v>45</v>
      </c>
      <c r="G737" s="50" t="s">
        <v>2225</v>
      </c>
      <c r="H737" s="88"/>
      <c r="I737" s="88">
        <v>144000</v>
      </c>
      <c r="J737" s="89"/>
      <c r="K737" s="89"/>
      <c r="L737" s="89">
        <f t="shared" si="22"/>
        <v>144000</v>
      </c>
      <c r="M737" s="87">
        <f t="shared" si="23"/>
        <v>144000</v>
      </c>
      <c r="N737" s="89"/>
      <c r="O737" s="89"/>
      <c r="P737" s="48"/>
      <c r="Q737" s="68"/>
      <c r="R737" s="49"/>
    </row>
    <row r="738" spans="1:18" s="1" customFormat="1" ht="38.25" x14ac:dyDescent="0.2">
      <c r="A738" s="45" t="s">
        <v>2226</v>
      </c>
      <c r="B738" s="45">
        <v>25387</v>
      </c>
      <c r="C738" s="50" t="s">
        <v>35</v>
      </c>
      <c r="D738" s="50" t="s">
        <v>2227</v>
      </c>
      <c r="E738" s="80" t="s">
        <v>21</v>
      </c>
      <c r="F738" s="50" t="s">
        <v>109</v>
      </c>
      <c r="G738" s="50" t="s">
        <v>2228</v>
      </c>
      <c r="H738" s="88">
        <v>3424</v>
      </c>
      <c r="I738" s="88"/>
      <c r="J738" s="89"/>
      <c r="K738" s="89"/>
      <c r="L738" s="89">
        <f t="shared" si="22"/>
        <v>3424</v>
      </c>
      <c r="M738" s="87">
        <f t="shared" si="23"/>
        <v>3424</v>
      </c>
      <c r="N738" s="89"/>
      <c r="O738" s="89"/>
      <c r="P738" s="48">
        <v>41158</v>
      </c>
      <c r="Q738" s="68">
        <v>41280</v>
      </c>
      <c r="R738" s="49">
        <v>11264</v>
      </c>
    </row>
    <row r="739" spans="1:18" s="1" customFormat="1" ht="38.25" x14ac:dyDescent="0.2">
      <c r="A739" s="45" t="s">
        <v>2229</v>
      </c>
      <c r="B739" s="45">
        <v>22439</v>
      </c>
      <c r="C739" s="50" t="s">
        <v>19</v>
      </c>
      <c r="D739" s="50" t="s">
        <v>2230</v>
      </c>
      <c r="E739" s="80" t="s">
        <v>21</v>
      </c>
      <c r="F739" s="50" t="s">
        <v>94</v>
      </c>
      <c r="G739" s="50" t="s">
        <v>2231</v>
      </c>
      <c r="H739" s="88">
        <v>1920</v>
      </c>
      <c r="I739" s="88"/>
      <c r="J739" s="89"/>
      <c r="K739" s="89"/>
      <c r="L739" s="89">
        <f t="shared" si="22"/>
        <v>1920</v>
      </c>
      <c r="M739" s="87">
        <f t="shared" si="23"/>
        <v>1920</v>
      </c>
      <c r="N739" s="89"/>
      <c r="O739" s="89"/>
      <c r="P739" s="48">
        <v>41141</v>
      </c>
      <c r="Q739" s="68">
        <v>41263</v>
      </c>
      <c r="R739" s="49">
        <v>11108</v>
      </c>
    </row>
    <row r="740" spans="1:18" s="1" customFormat="1" ht="25.5" x14ac:dyDescent="0.2">
      <c r="A740" s="45" t="s">
        <v>2232</v>
      </c>
      <c r="B740" s="64">
        <v>33552</v>
      </c>
      <c r="C740" s="50" t="s">
        <v>107</v>
      </c>
      <c r="D740" s="50" t="s">
        <v>2233</v>
      </c>
      <c r="E740" s="80" t="s">
        <v>2224</v>
      </c>
      <c r="F740" s="50" t="s">
        <v>87</v>
      </c>
      <c r="G740" s="50" t="s">
        <v>2234</v>
      </c>
      <c r="H740" s="88"/>
      <c r="I740" s="88">
        <v>696000</v>
      </c>
      <c r="J740" s="89"/>
      <c r="K740" s="89"/>
      <c r="L740" s="89">
        <f t="shared" si="22"/>
        <v>696000</v>
      </c>
      <c r="M740" s="87">
        <f t="shared" si="23"/>
        <v>696000</v>
      </c>
      <c r="N740" s="89"/>
      <c r="O740" s="89"/>
      <c r="P740" s="48">
        <v>41122</v>
      </c>
      <c r="Q740" s="68">
        <v>41518</v>
      </c>
      <c r="R740" s="49">
        <v>11047</v>
      </c>
    </row>
    <row r="741" spans="1:18" s="1" customFormat="1" ht="25.5" x14ac:dyDescent="0.2">
      <c r="A741" s="45" t="s">
        <v>2235</v>
      </c>
      <c r="B741" s="64">
        <v>33585</v>
      </c>
      <c r="C741" s="50" t="s">
        <v>238</v>
      </c>
      <c r="D741" s="50" t="s">
        <v>2236</v>
      </c>
      <c r="E741" s="80" t="s">
        <v>2224</v>
      </c>
      <c r="F741" s="81" t="s">
        <v>71</v>
      </c>
      <c r="G741" s="50" t="s">
        <v>2237</v>
      </c>
      <c r="H741" s="88"/>
      <c r="I741" s="88">
        <v>696000</v>
      </c>
      <c r="J741" s="89"/>
      <c r="K741" s="89"/>
      <c r="L741" s="89">
        <f t="shared" si="22"/>
        <v>696000</v>
      </c>
      <c r="M741" s="87">
        <f t="shared" si="23"/>
        <v>696000</v>
      </c>
      <c r="N741" s="89"/>
      <c r="O741" s="89"/>
      <c r="P741" s="48">
        <v>41122</v>
      </c>
      <c r="Q741" s="68">
        <v>41518</v>
      </c>
      <c r="R741" s="49">
        <v>11040</v>
      </c>
    </row>
    <row r="742" spans="1:18" s="1" customFormat="1" ht="38.25" x14ac:dyDescent="0.2">
      <c r="A742" s="45" t="s">
        <v>2238</v>
      </c>
      <c r="B742" s="64">
        <v>33479</v>
      </c>
      <c r="C742" s="50" t="s">
        <v>574</v>
      </c>
      <c r="D742" s="50" t="s">
        <v>575</v>
      </c>
      <c r="E742" s="80" t="s">
        <v>2224</v>
      </c>
      <c r="F742" s="81" t="s">
        <v>45</v>
      </c>
      <c r="G742" s="50" t="s">
        <v>2239</v>
      </c>
      <c r="H742" s="88"/>
      <c r="I742" s="88">
        <v>100800</v>
      </c>
      <c r="J742" s="89"/>
      <c r="K742" s="89"/>
      <c r="L742" s="89">
        <f t="shared" si="22"/>
        <v>100800</v>
      </c>
      <c r="M742" s="87">
        <f t="shared" si="23"/>
        <v>100800</v>
      </c>
      <c r="N742" s="89"/>
      <c r="O742" s="89"/>
      <c r="P742" s="48">
        <v>41122</v>
      </c>
      <c r="Q742" s="68">
        <v>41518</v>
      </c>
      <c r="R742" s="49">
        <v>11044</v>
      </c>
    </row>
    <row r="743" spans="1:18" s="1" customFormat="1" ht="25.5" x14ac:dyDescent="0.2">
      <c r="A743" s="45" t="s">
        <v>2240</v>
      </c>
      <c r="B743" s="64">
        <v>33446</v>
      </c>
      <c r="C743" s="50" t="s">
        <v>414</v>
      </c>
      <c r="D743" s="50" t="s">
        <v>2241</v>
      </c>
      <c r="E743" s="80" t="s">
        <v>2224</v>
      </c>
      <c r="F743" s="50" t="s">
        <v>2242</v>
      </c>
      <c r="G743" s="50" t="s">
        <v>2243</v>
      </c>
      <c r="H743" s="88"/>
      <c r="I743" s="88">
        <v>144000</v>
      </c>
      <c r="J743" s="89"/>
      <c r="K743" s="89"/>
      <c r="L743" s="89">
        <f t="shared" si="22"/>
        <v>144000</v>
      </c>
      <c r="M743" s="87">
        <f t="shared" si="23"/>
        <v>144000</v>
      </c>
      <c r="N743" s="89"/>
      <c r="O743" s="89"/>
      <c r="P743" s="48">
        <v>41122</v>
      </c>
      <c r="Q743" s="68">
        <v>41518</v>
      </c>
      <c r="R743" s="49">
        <v>11083</v>
      </c>
    </row>
    <row r="744" spans="1:18" s="1" customFormat="1" ht="38.25" x14ac:dyDescent="0.2">
      <c r="A744" s="45" t="s">
        <v>2244</v>
      </c>
      <c r="B744" s="64">
        <v>33444</v>
      </c>
      <c r="C744" s="50" t="s">
        <v>35</v>
      </c>
      <c r="D744" s="50" t="s">
        <v>125</v>
      </c>
      <c r="E744" s="80" t="s">
        <v>2224</v>
      </c>
      <c r="F744" s="50" t="s">
        <v>94</v>
      </c>
      <c r="G744" s="50" t="s">
        <v>2245</v>
      </c>
      <c r="H744" s="88"/>
      <c r="I744" s="88">
        <v>888000</v>
      </c>
      <c r="J744" s="89"/>
      <c r="K744" s="89"/>
      <c r="L744" s="89">
        <f t="shared" si="22"/>
        <v>888000</v>
      </c>
      <c r="M744" s="87">
        <f t="shared" si="23"/>
        <v>888000</v>
      </c>
      <c r="N744" s="89"/>
      <c r="O744" s="89"/>
      <c r="P744" s="48">
        <v>41122</v>
      </c>
      <c r="Q744" s="68">
        <v>41518</v>
      </c>
      <c r="R744" s="49">
        <v>11088</v>
      </c>
    </row>
    <row r="745" spans="1:18" s="1" customFormat="1" ht="38.25" x14ac:dyDescent="0.2">
      <c r="A745" s="45" t="s">
        <v>2246</v>
      </c>
      <c r="B745" s="64">
        <v>33482</v>
      </c>
      <c r="C745" s="50" t="s">
        <v>66</v>
      </c>
      <c r="D745" s="50" t="s">
        <v>2247</v>
      </c>
      <c r="E745" s="80" t="s">
        <v>2224</v>
      </c>
      <c r="F745" s="50" t="s">
        <v>63</v>
      </c>
      <c r="G745" s="50" t="s">
        <v>2248</v>
      </c>
      <c r="H745" s="88"/>
      <c r="I745" s="88">
        <v>696000</v>
      </c>
      <c r="J745" s="89"/>
      <c r="K745" s="89"/>
      <c r="L745" s="89">
        <f t="shared" si="22"/>
        <v>696000</v>
      </c>
      <c r="M745" s="87">
        <f t="shared" si="23"/>
        <v>696000</v>
      </c>
      <c r="N745" s="89"/>
      <c r="O745" s="89"/>
      <c r="P745" s="48">
        <v>41122</v>
      </c>
      <c r="Q745" s="68">
        <v>41518</v>
      </c>
      <c r="R745" s="49">
        <v>11110</v>
      </c>
    </row>
    <row r="746" spans="1:18" s="1" customFormat="1" ht="25.5" x14ac:dyDescent="0.2">
      <c r="A746" s="45" t="s">
        <v>2249</v>
      </c>
      <c r="B746" s="64">
        <v>33474</v>
      </c>
      <c r="C746" s="50" t="s">
        <v>53</v>
      </c>
      <c r="D746" s="50" t="s">
        <v>2250</v>
      </c>
      <c r="E746" s="80" t="s">
        <v>2224</v>
      </c>
      <c r="F746" s="50" t="s">
        <v>87</v>
      </c>
      <c r="G746" s="50" t="s">
        <v>2251</v>
      </c>
      <c r="H746" s="88"/>
      <c r="I746" s="88">
        <v>96000</v>
      </c>
      <c r="J746" s="89"/>
      <c r="K746" s="89"/>
      <c r="L746" s="89">
        <f t="shared" si="22"/>
        <v>96000</v>
      </c>
      <c r="M746" s="87">
        <f t="shared" si="23"/>
        <v>96000</v>
      </c>
      <c r="N746" s="89"/>
      <c r="O746" s="89"/>
      <c r="P746" s="48">
        <v>41122</v>
      </c>
      <c r="Q746" s="68">
        <v>41518</v>
      </c>
      <c r="R746" s="49">
        <v>11281</v>
      </c>
    </row>
    <row r="747" spans="1:18" s="1" customFormat="1" ht="25.5" x14ac:dyDescent="0.2">
      <c r="A747" s="45" t="s">
        <v>2252</v>
      </c>
      <c r="B747" s="64">
        <v>33507</v>
      </c>
      <c r="C747" s="50" t="s">
        <v>457</v>
      </c>
      <c r="D747" s="50" t="s">
        <v>2253</v>
      </c>
      <c r="E747" s="80" t="s">
        <v>2224</v>
      </c>
      <c r="F747" s="50" t="s">
        <v>167</v>
      </c>
      <c r="G747" s="50" t="s">
        <v>2254</v>
      </c>
      <c r="H747" s="88"/>
      <c r="I747" s="88">
        <v>144000</v>
      </c>
      <c r="J747" s="89"/>
      <c r="K747" s="89"/>
      <c r="L747" s="89">
        <f t="shared" si="22"/>
        <v>144000</v>
      </c>
      <c r="M747" s="87">
        <f t="shared" si="23"/>
        <v>144000</v>
      </c>
      <c r="N747" s="89"/>
      <c r="O747" s="89"/>
      <c r="P747" s="48">
        <v>41122</v>
      </c>
      <c r="Q747" s="68">
        <v>41518</v>
      </c>
      <c r="R747" s="49">
        <v>11141</v>
      </c>
    </row>
    <row r="748" spans="1:18" s="1" customFormat="1" ht="25.5" x14ac:dyDescent="0.2">
      <c r="A748" s="45" t="s">
        <v>2255</v>
      </c>
      <c r="B748" s="64">
        <v>33450</v>
      </c>
      <c r="C748" s="50" t="s">
        <v>534</v>
      </c>
      <c r="D748" s="50" t="s">
        <v>2256</v>
      </c>
      <c r="E748" s="80" t="s">
        <v>2224</v>
      </c>
      <c r="F748" s="50" t="s">
        <v>45</v>
      </c>
      <c r="G748" s="50" t="s">
        <v>2257</v>
      </c>
      <c r="H748" s="88"/>
      <c r="I748" s="88">
        <v>100800</v>
      </c>
      <c r="J748" s="89"/>
      <c r="K748" s="89"/>
      <c r="L748" s="89">
        <f t="shared" si="22"/>
        <v>100800</v>
      </c>
      <c r="M748" s="87">
        <f t="shared" si="23"/>
        <v>100800</v>
      </c>
      <c r="N748" s="89"/>
      <c r="O748" s="89"/>
      <c r="P748" s="48">
        <v>41153</v>
      </c>
      <c r="Q748" s="68">
        <v>41548</v>
      </c>
      <c r="R748" s="49">
        <v>11403</v>
      </c>
    </row>
    <row r="749" spans="1:18" s="1" customFormat="1" ht="51" x14ac:dyDescent="0.2">
      <c r="A749" s="45" t="s">
        <v>2258</v>
      </c>
      <c r="B749" s="64">
        <v>33532</v>
      </c>
      <c r="C749" s="50" t="s">
        <v>1052</v>
      </c>
      <c r="D749" s="50" t="s">
        <v>2259</v>
      </c>
      <c r="E749" s="80" t="s">
        <v>2224</v>
      </c>
      <c r="F749" s="50" t="s">
        <v>94</v>
      </c>
      <c r="G749" s="50" t="s">
        <v>2260</v>
      </c>
      <c r="H749" s="88"/>
      <c r="I749" s="88">
        <v>72000</v>
      </c>
      <c r="J749" s="89"/>
      <c r="K749" s="89"/>
      <c r="L749" s="89">
        <f t="shared" si="22"/>
        <v>72000</v>
      </c>
      <c r="M749" s="87">
        <f t="shared" si="23"/>
        <v>72000</v>
      </c>
      <c r="N749" s="89"/>
      <c r="O749" s="89"/>
      <c r="P749" s="48">
        <v>41122</v>
      </c>
      <c r="Q749" s="68">
        <v>41518</v>
      </c>
      <c r="R749" s="49">
        <v>11142</v>
      </c>
    </row>
    <row r="750" spans="1:18" s="1" customFormat="1" ht="25.5" x14ac:dyDescent="0.2">
      <c r="A750" s="45" t="s">
        <v>2261</v>
      </c>
      <c r="B750" s="64">
        <v>33447</v>
      </c>
      <c r="C750" s="50" t="s">
        <v>1135</v>
      </c>
      <c r="D750" s="50" t="s">
        <v>2262</v>
      </c>
      <c r="E750" s="80" t="s">
        <v>2224</v>
      </c>
      <c r="F750" s="50" t="s">
        <v>167</v>
      </c>
      <c r="G750" s="50" t="s">
        <v>2263</v>
      </c>
      <c r="H750" s="88"/>
      <c r="I750" s="88">
        <v>576000</v>
      </c>
      <c r="J750" s="89"/>
      <c r="K750" s="89"/>
      <c r="L750" s="89">
        <f t="shared" si="22"/>
        <v>576000</v>
      </c>
      <c r="M750" s="87">
        <f t="shared" si="23"/>
        <v>576000</v>
      </c>
      <c r="N750" s="89"/>
      <c r="O750" s="89"/>
      <c r="P750" s="48">
        <v>41122</v>
      </c>
      <c r="Q750" s="68">
        <v>41518</v>
      </c>
      <c r="R750" s="49">
        <v>11043</v>
      </c>
    </row>
    <row r="751" spans="1:18" s="1" customFormat="1" ht="38.25" x14ac:dyDescent="0.2">
      <c r="A751" s="45" t="s">
        <v>2264</v>
      </c>
      <c r="B751" s="64">
        <v>33451</v>
      </c>
      <c r="C751" s="50" t="s">
        <v>1991</v>
      </c>
      <c r="D751" s="50" t="s">
        <v>2265</v>
      </c>
      <c r="E751" s="80" t="s">
        <v>2224</v>
      </c>
      <c r="F751" s="50" t="s">
        <v>2242</v>
      </c>
      <c r="G751" s="50" t="s">
        <v>2266</v>
      </c>
      <c r="H751" s="88"/>
      <c r="I751" s="88">
        <v>100800</v>
      </c>
      <c r="J751" s="89"/>
      <c r="K751" s="89"/>
      <c r="L751" s="89">
        <f t="shared" si="22"/>
        <v>100800</v>
      </c>
      <c r="M751" s="87">
        <f t="shared" si="23"/>
        <v>100800</v>
      </c>
      <c r="N751" s="89"/>
      <c r="O751" s="89"/>
      <c r="P751" s="48" t="s">
        <v>2267</v>
      </c>
      <c r="Q751" s="68">
        <v>41519</v>
      </c>
      <c r="R751" s="49">
        <v>11075</v>
      </c>
    </row>
    <row r="752" spans="1:18" s="1" customFormat="1" ht="25.5" x14ac:dyDescent="0.2">
      <c r="A752" s="45" t="s">
        <v>2268</v>
      </c>
      <c r="B752" s="64">
        <v>33460</v>
      </c>
      <c r="C752" s="50" t="s">
        <v>43</v>
      </c>
      <c r="D752" s="50" t="s">
        <v>2269</v>
      </c>
      <c r="E752" s="80" t="s">
        <v>2224</v>
      </c>
      <c r="F752" s="50" t="s">
        <v>71</v>
      </c>
      <c r="G752" s="50" t="s">
        <v>2270</v>
      </c>
      <c r="H752" s="88"/>
      <c r="I752" s="88">
        <v>864000</v>
      </c>
      <c r="J752" s="89"/>
      <c r="K752" s="89"/>
      <c r="L752" s="89">
        <f t="shared" si="22"/>
        <v>864000</v>
      </c>
      <c r="M752" s="87">
        <f t="shared" si="23"/>
        <v>864000</v>
      </c>
      <c r="N752" s="89"/>
      <c r="O752" s="89"/>
      <c r="P752" s="48">
        <v>41122</v>
      </c>
      <c r="Q752" s="68">
        <v>41518</v>
      </c>
      <c r="R752" s="49">
        <v>11102</v>
      </c>
    </row>
    <row r="753" spans="1:18" s="1" customFormat="1" ht="25.5" x14ac:dyDescent="0.2">
      <c r="A753" s="45" t="s">
        <v>2271</v>
      </c>
      <c r="B753" s="64">
        <v>33489</v>
      </c>
      <c r="C753" s="50" t="s">
        <v>369</v>
      </c>
      <c r="D753" s="50" t="s">
        <v>2272</v>
      </c>
      <c r="E753" s="80" t="s">
        <v>2224</v>
      </c>
      <c r="F753" s="50" t="s">
        <v>167</v>
      </c>
      <c r="G753" s="50" t="s">
        <v>2273</v>
      </c>
      <c r="H753" s="88"/>
      <c r="I753" s="88">
        <v>696000</v>
      </c>
      <c r="J753" s="89"/>
      <c r="K753" s="89"/>
      <c r="L753" s="89">
        <f t="shared" si="22"/>
        <v>696000</v>
      </c>
      <c r="M753" s="87">
        <f t="shared" si="23"/>
        <v>696000</v>
      </c>
      <c r="N753" s="89"/>
      <c r="O753" s="89"/>
      <c r="P753" s="48">
        <v>41122</v>
      </c>
      <c r="Q753" s="68">
        <v>41518</v>
      </c>
      <c r="R753" s="49">
        <v>11114</v>
      </c>
    </row>
    <row r="754" spans="1:18" s="1" customFormat="1" ht="25.5" x14ac:dyDescent="0.2">
      <c r="A754" s="45" t="s">
        <v>2274</v>
      </c>
      <c r="B754" s="64">
        <v>33500</v>
      </c>
      <c r="C754" s="50" t="s">
        <v>19</v>
      </c>
      <c r="D754" s="50" t="s">
        <v>2275</v>
      </c>
      <c r="E754" s="80" t="s">
        <v>2224</v>
      </c>
      <c r="F754" s="50" t="s">
        <v>2242</v>
      </c>
      <c r="G754" s="50" t="s">
        <v>2276</v>
      </c>
      <c r="H754" s="88"/>
      <c r="I754" s="88">
        <v>888000</v>
      </c>
      <c r="J754" s="89"/>
      <c r="K754" s="89"/>
      <c r="L754" s="89">
        <f t="shared" si="22"/>
        <v>888000</v>
      </c>
      <c r="M754" s="87">
        <f t="shared" si="23"/>
        <v>888000</v>
      </c>
      <c r="N754" s="89"/>
      <c r="O754" s="89"/>
      <c r="P754" s="48">
        <v>41122</v>
      </c>
      <c r="Q754" s="68">
        <v>41518</v>
      </c>
      <c r="R754" s="49">
        <v>11115</v>
      </c>
    </row>
    <row r="755" spans="1:18" s="1" customFormat="1" ht="25.5" x14ac:dyDescent="0.2">
      <c r="A755" s="45" t="s">
        <v>2277</v>
      </c>
      <c r="B755" s="64">
        <v>33506</v>
      </c>
      <c r="C755" s="50" t="s">
        <v>407</v>
      </c>
      <c r="D755" s="50" t="s">
        <v>571</v>
      </c>
      <c r="E755" s="80" t="s">
        <v>2224</v>
      </c>
      <c r="F755" s="50" t="s">
        <v>2242</v>
      </c>
      <c r="G755" s="50" t="s">
        <v>2278</v>
      </c>
      <c r="H755" s="88"/>
      <c r="I755" s="88">
        <v>72000</v>
      </c>
      <c r="J755" s="89"/>
      <c r="K755" s="89"/>
      <c r="L755" s="89">
        <f t="shared" si="22"/>
        <v>72000</v>
      </c>
      <c r="M755" s="87">
        <f t="shared" si="23"/>
        <v>72000</v>
      </c>
      <c r="N755" s="89"/>
      <c r="O755" s="89"/>
      <c r="P755" s="48">
        <v>41122</v>
      </c>
      <c r="Q755" s="68">
        <v>41518</v>
      </c>
      <c r="R755" s="49">
        <v>11092</v>
      </c>
    </row>
    <row r="756" spans="1:18" s="1" customFormat="1" ht="25.5" x14ac:dyDescent="0.2">
      <c r="A756" s="45" t="s">
        <v>2279</v>
      </c>
      <c r="B756" s="64">
        <v>33523</v>
      </c>
      <c r="C756" s="50" t="s">
        <v>2280</v>
      </c>
      <c r="D756" s="50" t="s">
        <v>2281</v>
      </c>
      <c r="E756" s="80" t="s">
        <v>2224</v>
      </c>
      <c r="F756" s="50" t="s">
        <v>2242</v>
      </c>
      <c r="G756" s="50" t="s">
        <v>2282</v>
      </c>
      <c r="H756" s="88"/>
      <c r="I756" s="88">
        <v>100800</v>
      </c>
      <c r="J756" s="89"/>
      <c r="K756" s="89"/>
      <c r="L756" s="89">
        <f t="shared" si="22"/>
        <v>100800</v>
      </c>
      <c r="M756" s="87">
        <f t="shared" si="23"/>
        <v>100800</v>
      </c>
      <c r="N756" s="89"/>
      <c r="O756" s="89"/>
      <c r="P756" s="48">
        <v>41122</v>
      </c>
      <c r="Q756" s="68">
        <v>41518</v>
      </c>
      <c r="R756" s="49">
        <v>11116</v>
      </c>
    </row>
    <row r="757" spans="1:18" s="1" customFormat="1" ht="25.5" x14ac:dyDescent="0.2">
      <c r="A757" s="45" t="s">
        <v>2283</v>
      </c>
      <c r="B757" s="64">
        <v>33541</v>
      </c>
      <c r="C757" s="50" t="s">
        <v>511</v>
      </c>
      <c r="D757" s="50" t="s">
        <v>2284</v>
      </c>
      <c r="E757" s="80" t="s">
        <v>2224</v>
      </c>
      <c r="F757" s="50" t="s">
        <v>94</v>
      </c>
      <c r="G757" s="50" t="s">
        <v>2285</v>
      </c>
      <c r="H757" s="88"/>
      <c r="I757" s="88">
        <v>96000</v>
      </c>
      <c r="J757" s="89"/>
      <c r="K757" s="89"/>
      <c r="L757" s="89">
        <f t="shared" si="22"/>
        <v>96000</v>
      </c>
      <c r="M757" s="87">
        <f t="shared" si="23"/>
        <v>96000</v>
      </c>
      <c r="N757" s="89"/>
      <c r="O757" s="89"/>
      <c r="P757" s="48"/>
      <c r="Q757" s="68"/>
      <c r="R757" s="49"/>
    </row>
    <row r="758" spans="1:18" s="1" customFormat="1" ht="25.5" x14ac:dyDescent="0.2">
      <c r="A758" s="45" t="s">
        <v>2286</v>
      </c>
      <c r="B758" s="64">
        <v>33542</v>
      </c>
      <c r="C758" s="50" t="s">
        <v>1404</v>
      </c>
      <c r="D758" s="50" t="s">
        <v>2287</v>
      </c>
      <c r="E758" s="80" t="s">
        <v>2224</v>
      </c>
      <c r="F758" s="50" t="s">
        <v>87</v>
      </c>
      <c r="G758" s="50" t="s">
        <v>2288</v>
      </c>
      <c r="H758" s="88"/>
      <c r="I758" s="88">
        <v>144000</v>
      </c>
      <c r="J758" s="89"/>
      <c r="K758" s="89"/>
      <c r="L758" s="89">
        <f t="shared" si="22"/>
        <v>144000</v>
      </c>
      <c r="M758" s="87">
        <f t="shared" si="23"/>
        <v>144000</v>
      </c>
      <c r="N758" s="89"/>
      <c r="O758" s="89"/>
      <c r="P758" s="48">
        <v>41122</v>
      </c>
      <c r="Q758" s="68">
        <v>41518</v>
      </c>
      <c r="R758" s="49">
        <v>11045</v>
      </c>
    </row>
    <row r="759" spans="1:18" s="1" customFormat="1" ht="38.25" x14ac:dyDescent="0.2">
      <c r="A759" s="45" t="s">
        <v>2289</v>
      </c>
      <c r="B759" s="64">
        <v>33543</v>
      </c>
      <c r="C759" s="50" t="s">
        <v>319</v>
      </c>
      <c r="D759" s="50" t="s">
        <v>2290</v>
      </c>
      <c r="E759" s="80" t="s">
        <v>2224</v>
      </c>
      <c r="F759" s="50" t="s">
        <v>94</v>
      </c>
      <c r="G759" s="50" t="s">
        <v>2291</v>
      </c>
      <c r="H759" s="88"/>
      <c r="I759" s="88">
        <v>48000</v>
      </c>
      <c r="J759" s="89"/>
      <c r="K759" s="89"/>
      <c r="L759" s="89">
        <f t="shared" si="22"/>
        <v>48000</v>
      </c>
      <c r="M759" s="87">
        <f t="shared" si="23"/>
        <v>48000</v>
      </c>
      <c r="N759" s="89"/>
      <c r="O759" s="89"/>
      <c r="P759" s="48">
        <v>41122</v>
      </c>
      <c r="Q759" s="68">
        <v>41518</v>
      </c>
      <c r="R759" s="49">
        <v>11140</v>
      </c>
    </row>
    <row r="760" spans="1:18" s="1" customFormat="1" ht="25.5" x14ac:dyDescent="0.2">
      <c r="A760" s="45" t="s">
        <v>2292</v>
      </c>
      <c r="B760" s="64">
        <v>33556</v>
      </c>
      <c r="C760" s="50" t="s">
        <v>2293</v>
      </c>
      <c r="D760" s="50" t="s">
        <v>2294</v>
      </c>
      <c r="E760" s="80" t="s">
        <v>2224</v>
      </c>
      <c r="F760" s="50" t="s">
        <v>167</v>
      </c>
      <c r="G760" s="50" t="s">
        <v>2295</v>
      </c>
      <c r="H760" s="88"/>
      <c r="I760" s="88">
        <v>648000</v>
      </c>
      <c r="J760" s="89"/>
      <c r="K760" s="89"/>
      <c r="L760" s="89">
        <f t="shared" si="22"/>
        <v>648000</v>
      </c>
      <c r="M760" s="87">
        <f t="shared" si="23"/>
        <v>648000</v>
      </c>
      <c r="N760" s="89"/>
      <c r="O760" s="89"/>
      <c r="P760" s="48">
        <v>41122</v>
      </c>
      <c r="Q760" s="68">
        <v>41518</v>
      </c>
      <c r="R760" s="49">
        <v>11143</v>
      </c>
    </row>
    <row r="761" spans="1:18" s="1" customFormat="1" ht="25.5" x14ac:dyDescent="0.2">
      <c r="A761" s="45" t="s">
        <v>2296</v>
      </c>
      <c r="B761" s="64">
        <v>33561</v>
      </c>
      <c r="C761" s="50" t="s">
        <v>2297</v>
      </c>
      <c r="D761" s="50" t="s">
        <v>2298</v>
      </c>
      <c r="E761" s="80" t="s">
        <v>2224</v>
      </c>
      <c r="F761" s="50" t="s">
        <v>2242</v>
      </c>
      <c r="G761" s="50" t="s">
        <v>2299</v>
      </c>
      <c r="H761" s="88"/>
      <c r="I761" s="88">
        <v>72000</v>
      </c>
      <c r="J761" s="89"/>
      <c r="K761" s="89"/>
      <c r="L761" s="89">
        <f t="shared" si="22"/>
        <v>72000</v>
      </c>
      <c r="M761" s="87">
        <f t="shared" si="23"/>
        <v>72000</v>
      </c>
      <c r="N761" s="89"/>
      <c r="O761" s="89"/>
      <c r="P761" s="48">
        <v>41122</v>
      </c>
      <c r="Q761" s="68">
        <v>42724</v>
      </c>
      <c r="R761" s="49">
        <v>11077</v>
      </c>
    </row>
    <row r="762" spans="1:18" s="1" customFormat="1" ht="25.5" x14ac:dyDescent="0.2">
      <c r="A762" s="45" t="s">
        <v>2300</v>
      </c>
      <c r="B762" s="64">
        <v>33575</v>
      </c>
      <c r="C762" s="50" t="s">
        <v>324</v>
      </c>
      <c r="D762" s="50" t="s">
        <v>2301</v>
      </c>
      <c r="E762" s="80" t="s">
        <v>2224</v>
      </c>
      <c r="F762" s="50" t="s">
        <v>94</v>
      </c>
      <c r="G762" s="50" t="s">
        <v>2302</v>
      </c>
      <c r="H762" s="88"/>
      <c r="I762" s="88">
        <v>72000</v>
      </c>
      <c r="J762" s="89"/>
      <c r="K762" s="89"/>
      <c r="L762" s="89">
        <f t="shared" si="22"/>
        <v>72000</v>
      </c>
      <c r="M762" s="87">
        <f t="shared" si="23"/>
        <v>72000</v>
      </c>
      <c r="N762" s="89"/>
      <c r="O762" s="89"/>
      <c r="P762" s="48">
        <v>41122</v>
      </c>
      <c r="Q762" s="68">
        <v>41518</v>
      </c>
      <c r="R762" s="49">
        <v>11079</v>
      </c>
    </row>
    <row r="763" spans="1:18" s="1" customFormat="1" ht="25.5" x14ac:dyDescent="0.2">
      <c r="A763" s="45" t="s">
        <v>2303</v>
      </c>
      <c r="B763" s="45">
        <v>20847</v>
      </c>
      <c r="C763" s="50" t="s">
        <v>19</v>
      </c>
      <c r="D763" s="50" t="s">
        <v>2304</v>
      </c>
      <c r="E763" s="80" t="s">
        <v>2305</v>
      </c>
      <c r="F763" s="50" t="s">
        <v>94</v>
      </c>
      <c r="G763" s="50" t="s">
        <v>2306</v>
      </c>
      <c r="H763" s="88"/>
      <c r="I763" s="88">
        <v>144000</v>
      </c>
      <c r="J763" s="89"/>
      <c r="K763" s="89"/>
      <c r="L763" s="89">
        <f t="shared" si="22"/>
        <v>144000</v>
      </c>
      <c r="M763" s="87">
        <f t="shared" si="23"/>
        <v>144000</v>
      </c>
      <c r="N763" s="89"/>
      <c r="O763" s="89"/>
      <c r="P763" s="48" t="s">
        <v>2307</v>
      </c>
      <c r="Q763" s="68">
        <v>42633</v>
      </c>
      <c r="R763" s="49">
        <v>11033</v>
      </c>
    </row>
    <row r="764" spans="1:18" s="1" customFormat="1" ht="63.75" x14ac:dyDescent="0.2">
      <c r="A764" s="45" t="s">
        <v>2308</v>
      </c>
      <c r="B764" s="45">
        <v>24450</v>
      </c>
      <c r="C764" s="50" t="s">
        <v>19</v>
      </c>
      <c r="D764" s="50" t="s">
        <v>1673</v>
      </c>
      <c r="E764" s="80" t="s">
        <v>2305</v>
      </c>
      <c r="F764" s="50" t="s">
        <v>87</v>
      </c>
      <c r="G764" s="50" t="s">
        <v>2309</v>
      </c>
      <c r="H764" s="88"/>
      <c r="I764" s="88">
        <v>144000</v>
      </c>
      <c r="J764" s="89"/>
      <c r="K764" s="89"/>
      <c r="L764" s="89">
        <f t="shared" si="22"/>
        <v>144000</v>
      </c>
      <c r="M764" s="87">
        <f t="shared" si="23"/>
        <v>144000</v>
      </c>
      <c r="N764" s="89"/>
      <c r="O764" s="89"/>
      <c r="P764" s="48" t="s">
        <v>2307</v>
      </c>
      <c r="Q764" s="68">
        <v>42633</v>
      </c>
      <c r="R764" s="49">
        <v>11051</v>
      </c>
    </row>
    <row r="765" spans="1:18" s="1" customFormat="1" ht="38.25" x14ac:dyDescent="0.2">
      <c r="A765" s="45" t="s">
        <v>2310</v>
      </c>
      <c r="B765" s="45">
        <v>24200</v>
      </c>
      <c r="C765" s="50" t="s">
        <v>19</v>
      </c>
      <c r="D765" s="50" t="s">
        <v>1838</v>
      </c>
      <c r="E765" s="80" t="s">
        <v>2305</v>
      </c>
      <c r="F765" s="50" t="s">
        <v>94</v>
      </c>
      <c r="G765" s="50" t="s">
        <v>2311</v>
      </c>
      <c r="H765" s="88"/>
      <c r="I765" s="88">
        <v>72000</v>
      </c>
      <c r="J765" s="89"/>
      <c r="K765" s="89"/>
      <c r="L765" s="89">
        <f t="shared" si="22"/>
        <v>72000</v>
      </c>
      <c r="M765" s="87">
        <f t="shared" si="23"/>
        <v>72000</v>
      </c>
      <c r="N765" s="89"/>
      <c r="O765" s="89"/>
      <c r="P765" s="48" t="s">
        <v>2307</v>
      </c>
      <c r="Q765" s="68">
        <v>42541</v>
      </c>
      <c r="R765" s="49">
        <v>11053</v>
      </c>
    </row>
    <row r="766" spans="1:18" s="1" customFormat="1" ht="25.5" x14ac:dyDescent="0.2">
      <c r="A766" s="45" t="s">
        <v>2312</v>
      </c>
      <c r="B766" s="45">
        <v>21382</v>
      </c>
      <c r="C766" s="50" t="s">
        <v>19</v>
      </c>
      <c r="D766" s="50" t="s">
        <v>2313</v>
      </c>
      <c r="E766" s="80" t="s">
        <v>2305</v>
      </c>
      <c r="F766" s="50" t="s">
        <v>87</v>
      </c>
      <c r="G766" s="50" t="s">
        <v>2314</v>
      </c>
      <c r="H766" s="88"/>
      <c r="I766" s="88">
        <v>108000</v>
      </c>
      <c r="J766" s="89"/>
      <c r="K766" s="89"/>
      <c r="L766" s="89">
        <f t="shared" si="22"/>
        <v>108000</v>
      </c>
      <c r="M766" s="87">
        <f t="shared" si="23"/>
        <v>108000</v>
      </c>
      <c r="N766" s="89"/>
      <c r="O766" s="89"/>
      <c r="P766" s="48" t="s">
        <v>2307</v>
      </c>
      <c r="Q766" s="68">
        <v>42267</v>
      </c>
      <c r="R766" s="49">
        <v>11049</v>
      </c>
    </row>
    <row r="767" spans="1:18" s="1" customFormat="1" ht="51" x14ac:dyDescent="0.2">
      <c r="A767" s="45" t="s">
        <v>2315</v>
      </c>
      <c r="B767" s="45">
        <v>24466</v>
      </c>
      <c r="C767" s="50" t="s">
        <v>35</v>
      </c>
      <c r="D767" s="50" t="s">
        <v>219</v>
      </c>
      <c r="E767" s="80" t="s">
        <v>2305</v>
      </c>
      <c r="F767" s="50" t="s">
        <v>167</v>
      </c>
      <c r="G767" s="50" t="s">
        <v>2316</v>
      </c>
      <c r="H767" s="88"/>
      <c r="I767" s="88">
        <v>72000</v>
      </c>
      <c r="J767" s="89"/>
      <c r="K767" s="89"/>
      <c r="L767" s="89">
        <f t="shared" si="22"/>
        <v>72000</v>
      </c>
      <c r="M767" s="87">
        <f t="shared" si="23"/>
        <v>72000</v>
      </c>
      <c r="N767" s="89"/>
      <c r="O767" s="89"/>
      <c r="P767" s="48" t="s">
        <v>2307</v>
      </c>
      <c r="Q767" s="68">
        <v>41902</v>
      </c>
      <c r="R767" s="49">
        <v>11037</v>
      </c>
    </row>
    <row r="768" spans="1:18" s="1" customFormat="1" ht="51" x14ac:dyDescent="0.2">
      <c r="A768" s="45" t="s">
        <v>2317</v>
      </c>
      <c r="B768" s="45">
        <v>24416</v>
      </c>
      <c r="C768" s="50" t="s">
        <v>2318</v>
      </c>
      <c r="D768" s="50" t="s">
        <v>2319</v>
      </c>
      <c r="E768" s="80" t="s">
        <v>2305</v>
      </c>
      <c r="F768" s="50" t="s">
        <v>45</v>
      </c>
      <c r="G768" s="50" t="s">
        <v>2320</v>
      </c>
      <c r="H768" s="88"/>
      <c r="I768" s="88">
        <v>144000</v>
      </c>
      <c r="J768" s="89"/>
      <c r="K768" s="89"/>
      <c r="L768" s="89">
        <f t="shared" si="22"/>
        <v>144000</v>
      </c>
      <c r="M768" s="87">
        <f t="shared" si="23"/>
        <v>144000</v>
      </c>
      <c r="N768" s="89"/>
      <c r="O768" s="89"/>
      <c r="P768" s="48" t="s">
        <v>2321</v>
      </c>
      <c r="Q768" s="68">
        <v>42673</v>
      </c>
      <c r="R768" s="49">
        <v>11868</v>
      </c>
    </row>
    <row r="769" spans="1:18" s="1" customFormat="1" ht="38.25" x14ac:dyDescent="0.2">
      <c r="A769" s="45" t="s">
        <v>2322</v>
      </c>
      <c r="B769" s="64">
        <v>32628</v>
      </c>
      <c r="C769" s="50" t="s">
        <v>238</v>
      </c>
      <c r="D769" s="50" t="s">
        <v>2323</v>
      </c>
      <c r="E769" s="50" t="s">
        <v>308</v>
      </c>
      <c r="F769" s="50" t="s">
        <v>63</v>
      </c>
      <c r="G769" s="50" t="s">
        <v>2324</v>
      </c>
      <c r="H769" s="88">
        <v>3000</v>
      </c>
      <c r="I769" s="88"/>
      <c r="J769" s="88"/>
      <c r="K769" s="88"/>
      <c r="L769" s="89">
        <f t="shared" si="22"/>
        <v>3000</v>
      </c>
      <c r="M769" s="87">
        <f t="shared" si="23"/>
        <v>3000</v>
      </c>
      <c r="N769" s="89"/>
      <c r="O769" s="89"/>
      <c r="P769" s="48" t="s">
        <v>2325</v>
      </c>
      <c r="Q769" s="68">
        <v>41379</v>
      </c>
      <c r="R769" s="49">
        <v>11930</v>
      </c>
    </row>
    <row r="770" spans="1:18" s="1" customFormat="1" ht="25.5" x14ac:dyDescent="0.2">
      <c r="A770" s="45" t="s">
        <v>2326</v>
      </c>
      <c r="B770" s="45">
        <v>24469</v>
      </c>
      <c r="C770" s="50" t="s">
        <v>369</v>
      </c>
      <c r="D770" s="50" t="s">
        <v>2327</v>
      </c>
      <c r="E770" s="80" t="s">
        <v>2305</v>
      </c>
      <c r="F770" s="50" t="s">
        <v>167</v>
      </c>
      <c r="G770" s="50" t="s">
        <v>2328</v>
      </c>
      <c r="H770" s="88"/>
      <c r="I770" s="88">
        <v>144000</v>
      </c>
      <c r="J770" s="89"/>
      <c r="K770" s="89"/>
      <c r="L770" s="89">
        <f t="shared" si="22"/>
        <v>144000</v>
      </c>
      <c r="M770" s="87">
        <f t="shared" si="23"/>
        <v>144000</v>
      </c>
      <c r="N770" s="89"/>
      <c r="O770" s="89"/>
      <c r="P770" s="48" t="s">
        <v>2307</v>
      </c>
      <c r="Q770" s="68">
        <v>42633</v>
      </c>
      <c r="R770" s="49">
        <v>11065</v>
      </c>
    </row>
    <row r="771" spans="1:18" s="1" customFormat="1" ht="38.25" x14ac:dyDescent="0.2">
      <c r="A771" s="45" t="s">
        <v>2329</v>
      </c>
      <c r="B771" s="45">
        <v>34431</v>
      </c>
      <c r="C771" s="50" t="s">
        <v>66</v>
      </c>
      <c r="D771" s="50" t="s">
        <v>2330</v>
      </c>
      <c r="E771" s="80" t="s">
        <v>2331</v>
      </c>
      <c r="F771" s="50" t="s">
        <v>63</v>
      </c>
      <c r="G771" s="50" t="s">
        <v>2332</v>
      </c>
      <c r="H771" s="88">
        <v>9996.2999999999993</v>
      </c>
      <c r="I771" s="88"/>
      <c r="J771" s="89"/>
      <c r="K771" s="89"/>
      <c r="L771" s="89">
        <f t="shared" si="22"/>
        <v>9996.2999999999993</v>
      </c>
      <c r="M771" s="87">
        <f t="shared" si="23"/>
        <v>9996.2999999999993</v>
      </c>
      <c r="N771" s="89"/>
      <c r="O771" s="89"/>
      <c r="P771" s="48" t="s">
        <v>2333</v>
      </c>
      <c r="Q771" s="68">
        <v>41272</v>
      </c>
      <c r="R771" s="49">
        <v>11073</v>
      </c>
    </row>
    <row r="772" spans="1:18" s="1" customFormat="1" ht="25.5" x14ac:dyDescent="0.2">
      <c r="A772" s="45" t="s">
        <v>2334</v>
      </c>
      <c r="B772" s="45">
        <v>34416</v>
      </c>
      <c r="C772" s="50" t="s">
        <v>369</v>
      </c>
      <c r="D772" s="50" t="s">
        <v>2272</v>
      </c>
      <c r="E772" s="80" t="s">
        <v>2331</v>
      </c>
      <c r="F772" s="50" t="s">
        <v>63</v>
      </c>
      <c r="G772" s="50" t="s">
        <v>2335</v>
      </c>
      <c r="H772" s="88">
        <v>24500</v>
      </c>
      <c r="I772" s="88"/>
      <c r="J772" s="89"/>
      <c r="K772" s="89"/>
      <c r="L772" s="89">
        <f t="shared" si="22"/>
        <v>24500</v>
      </c>
      <c r="M772" s="87">
        <f t="shared" si="23"/>
        <v>24500</v>
      </c>
      <c r="N772" s="89"/>
      <c r="O772" s="89"/>
      <c r="P772" s="48" t="s">
        <v>2336</v>
      </c>
      <c r="Q772" s="68">
        <v>41299</v>
      </c>
      <c r="R772" s="49">
        <v>11254</v>
      </c>
    </row>
    <row r="773" spans="1:18" s="1" customFormat="1" ht="38.25" x14ac:dyDescent="0.2">
      <c r="A773" s="45" t="s">
        <v>2337</v>
      </c>
      <c r="B773" s="45">
        <v>34412</v>
      </c>
      <c r="C773" s="50" t="s">
        <v>574</v>
      </c>
      <c r="D773" s="50" t="s">
        <v>2338</v>
      </c>
      <c r="E773" s="80" t="s">
        <v>2331</v>
      </c>
      <c r="F773" s="50" t="s">
        <v>45</v>
      </c>
      <c r="G773" s="50" t="s">
        <v>2339</v>
      </c>
      <c r="H773" s="88">
        <v>4920</v>
      </c>
      <c r="I773" s="88"/>
      <c r="J773" s="89"/>
      <c r="K773" s="89"/>
      <c r="L773" s="89">
        <f t="shared" si="22"/>
        <v>4920</v>
      </c>
      <c r="M773" s="87">
        <f t="shared" si="23"/>
        <v>4920</v>
      </c>
      <c r="N773" s="89"/>
      <c r="O773" s="89"/>
      <c r="P773" s="48" t="s">
        <v>2307</v>
      </c>
      <c r="Q773" s="68">
        <v>41263</v>
      </c>
      <c r="R773" s="49">
        <v>11209</v>
      </c>
    </row>
    <row r="774" spans="1:18" s="1" customFormat="1" ht="38.25" x14ac:dyDescent="0.2">
      <c r="A774" s="45" t="s">
        <v>2340</v>
      </c>
      <c r="B774" s="45">
        <v>34403</v>
      </c>
      <c r="C774" s="50" t="s">
        <v>66</v>
      </c>
      <c r="D774" s="50" t="s">
        <v>2247</v>
      </c>
      <c r="E774" s="80" t="s">
        <v>2331</v>
      </c>
      <c r="F774" s="50" t="s">
        <v>63</v>
      </c>
      <c r="G774" s="50" t="s">
        <v>2341</v>
      </c>
      <c r="H774" s="88">
        <v>19111.8</v>
      </c>
      <c r="I774" s="88"/>
      <c r="J774" s="89"/>
      <c r="K774" s="89"/>
      <c r="L774" s="89">
        <f t="shared" si="22"/>
        <v>19111.8</v>
      </c>
      <c r="M774" s="87">
        <f t="shared" si="23"/>
        <v>19111.8</v>
      </c>
      <c r="N774" s="89"/>
      <c r="O774" s="89"/>
      <c r="P774" s="48" t="s">
        <v>2342</v>
      </c>
      <c r="Q774" s="68">
        <v>41284</v>
      </c>
      <c r="R774" s="49">
        <v>11245</v>
      </c>
    </row>
    <row r="775" spans="1:18" s="1" customFormat="1" ht="25.5" x14ac:dyDescent="0.2">
      <c r="A775" s="45" t="s">
        <v>2343</v>
      </c>
      <c r="B775" s="45">
        <v>34338</v>
      </c>
      <c r="C775" s="50" t="s">
        <v>1987</v>
      </c>
      <c r="D775" s="50" t="s">
        <v>1988</v>
      </c>
      <c r="E775" s="80" t="s">
        <v>2331</v>
      </c>
      <c r="F775" s="50" t="s">
        <v>98</v>
      </c>
      <c r="G775" s="50" t="s">
        <v>2344</v>
      </c>
      <c r="H775" s="88">
        <v>160000</v>
      </c>
      <c r="I775" s="88"/>
      <c r="J775" s="89"/>
      <c r="K775" s="89"/>
      <c r="L775" s="89">
        <f t="shared" ref="L775:L838" si="24">H775+I775+J775+K775</f>
        <v>160000</v>
      </c>
      <c r="M775" s="87">
        <f t="shared" ref="M775:M838" si="25">SUM(L775)</f>
        <v>160000</v>
      </c>
      <c r="N775" s="89"/>
      <c r="O775" s="89"/>
      <c r="P775" s="48" t="s">
        <v>2307</v>
      </c>
      <c r="Q775" s="68">
        <v>41294</v>
      </c>
      <c r="R775" s="49">
        <v>11240</v>
      </c>
    </row>
    <row r="776" spans="1:18" s="1" customFormat="1" ht="38.25" x14ac:dyDescent="0.2">
      <c r="A776" s="45" t="s">
        <v>2345</v>
      </c>
      <c r="B776" s="45">
        <v>33621</v>
      </c>
      <c r="C776" s="50" t="s">
        <v>19</v>
      </c>
      <c r="D776" s="50" t="s">
        <v>2346</v>
      </c>
      <c r="E776" s="80" t="s">
        <v>2331</v>
      </c>
      <c r="F776" s="50" t="s">
        <v>22</v>
      </c>
      <c r="G776" s="50" t="s">
        <v>2347</v>
      </c>
      <c r="H776" s="88">
        <v>5000</v>
      </c>
      <c r="I776" s="88"/>
      <c r="J776" s="89"/>
      <c r="K776" s="89"/>
      <c r="L776" s="89">
        <f t="shared" si="24"/>
        <v>5000</v>
      </c>
      <c r="M776" s="87">
        <f t="shared" si="25"/>
        <v>5000</v>
      </c>
      <c r="N776" s="89"/>
      <c r="O776" s="89"/>
      <c r="P776" s="48" t="s">
        <v>2307</v>
      </c>
      <c r="Q776" s="68">
        <v>41353</v>
      </c>
      <c r="R776" s="49">
        <v>11242</v>
      </c>
    </row>
    <row r="777" spans="1:18" s="1" customFormat="1" ht="38.25" x14ac:dyDescent="0.2">
      <c r="A777" s="45" t="s">
        <v>2348</v>
      </c>
      <c r="B777" s="45">
        <v>33603</v>
      </c>
      <c r="C777" s="50" t="s">
        <v>35</v>
      </c>
      <c r="D777" s="50" t="s">
        <v>125</v>
      </c>
      <c r="E777" s="80" t="s">
        <v>2331</v>
      </c>
      <c r="F777" s="81" t="s">
        <v>94</v>
      </c>
      <c r="G777" s="50" t="s">
        <v>2349</v>
      </c>
      <c r="H777" s="88">
        <v>16440</v>
      </c>
      <c r="I777" s="88"/>
      <c r="J777" s="89"/>
      <c r="K777" s="89"/>
      <c r="L777" s="89">
        <f t="shared" si="24"/>
        <v>16440</v>
      </c>
      <c r="M777" s="87">
        <f t="shared" si="25"/>
        <v>16440</v>
      </c>
      <c r="N777" s="89"/>
      <c r="O777" s="89"/>
      <c r="P777" s="48" t="s">
        <v>2307</v>
      </c>
      <c r="Q777" s="68">
        <v>41294</v>
      </c>
      <c r="R777" s="49">
        <v>11243</v>
      </c>
    </row>
    <row r="778" spans="1:18" s="1" customFormat="1" ht="38.25" x14ac:dyDescent="0.2">
      <c r="A778" s="45" t="s">
        <v>2350</v>
      </c>
      <c r="B778" s="45">
        <v>33522</v>
      </c>
      <c r="C778" s="50" t="s">
        <v>107</v>
      </c>
      <c r="D778" s="50" t="s">
        <v>1576</v>
      </c>
      <c r="E778" s="80" t="s">
        <v>2331</v>
      </c>
      <c r="F778" s="81" t="s">
        <v>87</v>
      </c>
      <c r="G778" s="50" t="s">
        <v>2351</v>
      </c>
      <c r="H778" s="88">
        <v>32500</v>
      </c>
      <c r="I778" s="88"/>
      <c r="J778" s="89"/>
      <c r="K778" s="89"/>
      <c r="L778" s="89">
        <f t="shared" si="24"/>
        <v>32500</v>
      </c>
      <c r="M778" s="87">
        <f t="shared" si="25"/>
        <v>32500</v>
      </c>
      <c r="N778" s="89"/>
      <c r="O778" s="89"/>
      <c r="P778" s="48" t="s">
        <v>2307</v>
      </c>
      <c r="Q778" s="68">
        <v>41294</v>
      </c>
      <c r="R778" s="49">
        <v>11240</v>
      </c>
    </row>
    <row r="779" spans="1:18" s="1" customFormat="1" ht="38.25" x14ac:dyDescent="0.2">
      <c r="A779" s="45" t="s">
        <v>2352</v>
      </c>
      <c r="B779" s="45">
        <v>33315</v>
      </c>
      <c r="C779" s="50" t="s">
        <v>19</v>
      </c>
      <c r="D779" s="50" t="s">
        <v>2353</v>
      </c>
      <c r="E779" s="80" t="s">
        <v>2331</v>
      </c>
      <c r="F779" s="50" t="s">
        <v>22</v>
      </c>
      <c r="G779" s="50" t="s">
        <v>2354</v>
      </c>
      <c r="H779" s="88">
        <v>40000</v>
      </c>
      <c r="I779" s="88"/>
      <c r="J779" s="89"/>
      <c r="K779" s="89"/>
      <c r="L779" s="89">
        <f t="shared" si="24"/>
        <v>40000</v>
      </c>
      <c r="M779" s="87">
        <f t="shared" si="25"/>
        <v>40000</v>
      </c>
      <c r="N779" s="89"/>
      <c r="O779" s="89"/>
      <c r="P779" s="48" t="s">
        <v>2307</v>
      </c>
      <c r="Q779" s="68">
        <v>41353</v>
      </c>
      <c r="R779" s="49">
        <v>11241</v>
      </c>
    </row>
    <row r="780" spans="1:18" s="1" customFormat="1" ht="25.5" x14ac:dyDescent="0.2">
      <c r="A780" s="45" t="s">
        <v>2355</v>
      </c>
      <c r="B780" s="45">
        <v>33176</v>
      </c>
      <c r="C780" s="50" t="s">
        <v>2356</v>
      </c>
      <c r="D780" s="50" t="s">
        <v>2262</v>
      </c>
      <c r="E780" s="80" t="s">
        <v>2331</v>
      </c>
      <c r="F780" s="81" t="s">
        <v>167</v>
      </c>
      <c r="G780" s="50" t="s">
        <v>2357</v>
      </c>
      <c r="H780" s="88">
        <v>7500</v>
      </c>
      <c r="I780" s="88"/>
      <c r="J780" s="89"/>
      <c r="K780" s="89"/>
      <c r="L780" s="89">
        <f t="shared" si="24"/>
        <v>7500</v>
      </c>
      <c r="M780" s="87">
        <f t="shared" si="25"/>
        <v>7500</v>
      </c>
      <c r="N780" s="89"/>
      <c r="O780" s="89"/>
      <c r="P780" s="48" t="s">
        <v>2307</v>
      </c>
      <c r="Q780" s="68">
        <v>41294</v>
      </c>
      <c r="R780" s="62">
        <v>11263</v>
      </c>
    </row>
    <row r="781" spans="1:18" s="1" customFormat="1" ht="51" x14ac:dyDescent="0.2">
      <c r="A781" s="45" t="s">
        <v>2358</v>
      </c>
      <c r="B781" s="57">
        <v>24733</v>
      </c>
      <c r="C781" s="60" t="s">
        <v>369</v>
      </c>
      <c r="D781" s="60" t="s">
        <v>2359</v>
      </c>
      <c r="E781" s="50" t="s">
        <v>2360</v>
      </c>
      <c r="F781" s="50" t="s">
        <v>26</v>
      </c>
      <c r="G781" s="60" t="s">
        <v>2361</v>
      </c>
      <c r="H781" s="99"/>
      <c r="I781" s="100">
        <v>15000</v>
      </c>
      <c r="J781" s="99"/>
      <c r="K781" s="99"/>
      <c r="L781" s="89">
        <f t="shared" si="24"/>
        <v>15000</v>
      </c>
      <c r="M781" s="87">
        <f t="shared" si="25"/>
        <v>15000</v>
      </c>
      <c r="N781" s="99"/>
      <c r="O781" s="99"/>
      <c r="P781" s="48">
        <v>41183</v>
      </c>
      <c r="Q781" s="48">
        <v>41548</v>
      </c>
      <c r="R781" s="49">
        <v>11376</v>
      </c>
    </row>
    <row r="782" spans="1:18" s="1" customFormat="1" ht="63.75" x14ac:dyDescent="0.2">
      <c r="A782" s="45" t="s">
        <v>2362</v>
      </c>
      <c r="B782" s="57">
        <v>23482</v>
      </c>
      <c r="C782" s="60" t="s">
        <v>369</v>
      </c>
      <c r="D782" s="60" t="s">
        <v>2363</v>
      </c>
      <c r="E782" s="50" t="s">
        <v>2360</v>
      </c>
      <c r="F782" s="50" t="s">
        <v>71</v>
      </c>
      <c r="G782" s="60" t="s">
        <v>2364</v>
      </c>
      <c r="H782" s="99"/>
      <c r="I782" s="100">
        <v>15000</v>
      </c>
      <c r="J782" s="99"/>
      <c r="K782" s="99"/>
      <c r="L782" s="89">
        <f t="shared" si="24"/>
        <v>15000</v>
      </c>
      <c r="M782" s="87">
        <f t="shared" si="25"/>
        <v>15000</v>
      </c>
      <c r="N782" s="99"/>
      <c r="O782" s="99"/>
      <c r="P782" s="48">
        <v>41183</v>
      </c>
      <c r="Q782" s="48">
        <v>41548</v>
      </c>
      <c r="R782" s="49">
        <v>11378</v>
      </c>
    </row>
    <row r="783" spans="1:18" s="1" customFormat="1" ht="51" x14ac:dyDescent="0.2">
      <c r="A783" s="45" t="s">
        <v>2365</v>
      </c>
      <c r="B783" s="57">
        <v>25276</v>
      </c>
      <c r="C783" s="60" t="s">
        <v>369</v>
      </c>
      <c r="D783" s="60" t="s">
        <v>2366</v>
      </c>
      <c r="E783" s="50" t="s">
        <v>2360</v>
      </c>
      <c r="F783" s="50" t="s">
        <v>26</v>
      </c>
      <c r="G783" s="60" t="s">
        <v>2367</v>
      </c>
      <c r="H783" s="99"/>
      <c r="I783" s="100">
        <v>12000</v>
      </c>
      <c r="J783" s="99"/>
      <c r="K783" s="99"/>
      <c r="L783" s="89">
        <f t="shared" si="24"/>
        <v>12000</v>
      </c>
      <c r="M783" s="87">
        <f t="shared" si="25"/>
        <v>12000</v>
      </c>
      <c r="N783" s="99"/>
      <c r="O783" s="99"/>
      <c r="P783" s="48">
        <v>41183</v>
      </c>
      <c r="Q783" s="48">
        <v>41548</v>
      </c>
      <c r="R783" s="49">
        <v>11453</v>
      </c>
    </row>
    <row r="784" spans="1:18" s="1" customFormat="1" ht="51" x14ac:dyDescent="0.2">
      <c r="A784" s="45" t="s">
        <v>2368</v>
      </c>
      <c r="B784" s="57">
        <v>25239</v>
      </c>
      <c r="C784" s="60" t="s">
        <v>369</v>
      </c>
      <c r="D784" s="60" t="s">
        <v>1211</v>
      </c>
      <c r="E784" s="50" t="s">
        <v>2360</v>
      </c>
      <c r="F784" s="50" t="s">
        <v>26</v>
      </c>
      <c r="G784" s="60" t="s">
        <v>2369</v>
      </c>
      <c r="H784" s="99"/>
      <c r="I784" s="100">
        <v>15000</v>
      </c>
      <c r="J784" s="99"/>
      <c r="K784" s="99"/>
      <c r="L784" s="89">
        <f t="shared" si="24"/>
        <v>15000</v>
      </c>
      <c r="M784" s="87">
        <f t="shared" si="25"/>
        <v>15000</v>
      </c>
      <c r="N784" s="99"/>
      <c r="O784" s="99"/>
      <c r="P784" s="48">
        <v>41183</v>
      </c>
      <c r="Q784" s="48">
        <v>41548</v>
      </c>
      <c r="R784" s="49">
        <v>11379</v>
      </c>
    </row>
    <row r="785" spans="1:18" s="1" customFormat="1" ht="63.75" x14ac:dyDescent="0.2">
      <c r="A785" s="45" t="s">
        <v>2370</v>
      </c>
      <c r="B785" s="57">
        <v>25346</v>
      </c>
      <c r="C785" s="60" t="s">
        <v>369</v>
      </c>
      <c r="D785" s="60" t="s">
        <v>2009</v>
      </c>
      <c r="E785" s="50" t="s">
        <v>2360</v>
      </c>
      <c r="F785" s="50" t="s">
        <v>109</v>
      </c>
      <c r="G785" s="60" t="s">
        <v>2371</v>
      </c>
      <c r="H785" s="99"/>
      <c r="I785" s="100">
        <v>15000</v>
      </c>
      <c r="J785" s="99"/>
      <c r="K785" s="99"/>
      <c r="L785" s="89">
        <f t="shared" si="24"/>
        <v>15000</v>
      </c>
      <c r="M785" s="87">
        <f t="shared" si="25"/>
        <v>15000</v>
      </c>
      <c r="N785" s="99"/>
      <c r="O785" s="99"/>
      <c r="P785" s="48">
        <v>41183</v>
      </c>
      <c r="Q785" s="48">
        <v>41548</v>
      </c>
      <c r="R785" s="49">
        <v>11381</v>
      </c>
    </row>
    <row r="786" spans="1:18" s="1" customFormat="1" ht="51" x14ac:dyDescent="0.2">
      <c r="A786" s="45" t="s">
        <v>2372</v>
      </c>
      <c r="B786" s="57">
        <v>25191</v>
      </c>
      <c r="C786" s="60" t="s">
        <v>369</v>
      </c>
      <c r="D786" s="60" t="s">
        <v>617</v>
      </c>
      <c r="E786" s="50" t="s">
        <v>2360</v>
      </c>
      <c r="F786" s="50" t="s">
        <v>109</v>
      </c>
      <c r="G786" s="60" t="s">
        <v>2373</v>
      </c>
      <c r="H786" s="99"/>
      <c r="I786" s="100">
        <v>15000</v>
      </c>
      <c r="J786" s="99"/>
      <c r="K786" s="99"/>
      <c r="L786" s="89">
        <f t="shared" si="24"/>
        <v>15000</v>
      </c>
      <c r="M786" s="87">
        <f t="shared" si="25"/>
        <v>15000</v>
      </c>
      <c r="N786" s="99"/>
      <c r="O786" s="99"/>
      <c r="P786" s="48">
        <v>41183</v>
      </c>
      <c r="Q786" s="48">
        <v>41548</v>
      </c>
      <c r="R786" s="49">
        <v>11383</v>
      </c>
    </row>
    <row r="787" spans="1:18" s="1" customFormat="1" ht="63.75" x14ac:dyDescent="0.2">
      <c r="A787" s="45" t="s">
        <v>2374</v>
      </c>
      <c r="B787" s="57">
        <v>23161</v>
      </c>
      <c r="C787" s="60" t="s">
        <v>369</v>
      </c>
      <c r="D787" s="60" t="s">
        <v>1172</v>
      </c>
      <c r="E787" s="50" t="s">
        <v>2360</v>
      </c>
      <c r="F787" s="50" t="s">
        <v>193</v>
      </c>
      <c r="G787" s="60" t="s">
        <v>2375</v>
      </c>
      <c r="H787" s="99"/>
      <c r="I787" s="100">
        <v>12000</v>
      </c>
      <c r="J787" s="99"/>
      <c r="K787" s="99"/>
      <c r="L787" s="89">
        <f t="shared" si="24"/>
        <v>12000</v>
      </c>
      <c r="M787" s="87">
        <f t="shared" si="25"/>
        <v>12000</v>
      </c>
      <c r="N787" s="99"/>
      <c r="O787" s="99"/>
      <c r="P787" s="48">
        <v>41183</v>
      </c>
      <c r="Q787" s="48">
        <v>41548</v>
      </c>
      <c r="R787" s="49">
        <v>11485</v>
      </c>
    </row>
    <row r="788" spans="1:18" s="1" customFormat="1" ht="38.25" x14ac:dyDescent="0.2">
      <c r="A788" s="45" t="s">
        <v>2376</v>
      </c>
      <c r="B788" s="57">
        <v>25216</v>
      </c>
      <c r="C788" s="60" t="s">
        <v>369</v>
      </c>
      <c r="D788" s="60" t="s">
        <v>1181</v>
      </c>
      <c r="E788" s="50" t="s">
        <v>2360</v>
      </c>
      <c r="F788" s="50" t="s">
        <v>98</v>
      </c>
      <c r="G788" s="60" t="s">
        <v>2377</v>
      </c>
      <c r="H788" s="99"/>
      <c r="I788" s="100">
        <v>15000</v>
      </c>
      <c r="J788" s="99"/>
      <c r="K788" s="99"/>
      <c r="L788" s="89">
        <f t="shared" si="24"/>
        <v>15000</v>
      </c>
      <c r="M788" s="87">
        <f t="shared" si="25"/>
        <v>15000</v>
      </c>
      <c r="N788" s="99"/>
      <c r="O788" s="99"/>
      <c r="P788" s="48">
        <v>41183</v>
      </c>
      <c r="Q788" s="48">
        <v>41609</v>
      </c>
      <c r="R788" s="49">
        <v>11456</v>
      </c>
    </row>
    <row r="789" spans="1:18" s="1" customFormat="1" ht="114.75" x14ac:dyDescent="0.2">
      <c r="A789" s="45" t="s">
        <v>2378</v>
      </c>
      <c r="B789" s="57">
        <v>24888</v>
      </c>
      <c r="C789" s="60" t="s">
        <v>369</v>
      </c>
      <c r="D789" s="60" t="s">
        <v>2379</v>
      </c>
      <c r="E789" s="50" t="s">
        <v>2360</v>
      </c>
      <c r="F789" s="50" t="s">
        <v>98</v>
      </c>
      <c r="G789" s="60" t="s">
        <v>2380</v>
      </c>
      <c r="H789" s="99"/>
      <c r="I789" s="100">
        <v>15000</v>
      </c>
      <c r="J789" s="99"/>
      <c r="K789" s="99"/>
      <c r="L789" s="89">
        <f t="shared" si="24"/>
        <v>15000</v>
      </c>
      <c r="M789" s="87">
        <f t="shared" si="25"/>
        <v>15000</v>
      </c>
      <c r="N789" s="99"/>
      <c r="O789" s="99"/>
      <c r="P789" s="48">
        <v>41183</v>
      </c>
      <c r="Q789" s="48">
        <v>41548</v>
      </c>
      <c r="R789" s="49">
        <v>11455</v>
      </c>
    </row>
    <row r="790" spans="1:18" s="1" customFormat="1" ht="76.5" x14ac:dyDescent="0.2">
      <c r="A790" s="45" t="s">
        <v>2381</v>
      </c>
      <c r="B790" s="57">
        <v>24704</v>
      </c>
      <c r="C790" s="60" t="s">
        <v>369</v>
      </c>
      <c r="D790" s="60" t="s">
        <v>1163</v>
      </c>
      <c r="E790" s="50" t="s">
        <v>2360</v>
      </c>
      <c r="F790" s="50" t="s">
        <v>94</v>
      </c>
      <c r="G790" s="60" t="s">
        <v>2382</v>
      </c>
      <c r="H790" s="99"/>
      <c r="I790" s="100">
        <v>15000</v>
      </c>
      <c r="J790" s="99"/>
      <c r="K790" s="99"/>
      <c r="L790" s="89">
        <f t="shared" si="24"/>
        <v>15000</v>
      </c>
      <c r="M790" s="87">
        <f t="shared" si="25"/>
        <v>15000</v>
      </c>
      <c r="N790" s="99"/>
      <c r="O790" s="99"/>
      <c r="P790" s="48">
        <v>41183</v>
      </c>
      <c r="Q790" s="48">
        <v>41548</v>
      </c>
      <c r="R790" s="49">
        <v>11457</v>
      </c>
    </row>
    <row r="791" spans="1:18" s="1" customFormat="1" ht="51" x14ac:dyDescent="0.2">
      <c r="A791" s="45" t="s">
        <v>2383</v>
      </c>
      <c r="B791" s="57">
        <v>25258</v>
      </c>
      <c r="C791" s="60" t="s">
        <v>369</v>
      </c>
      <c r="D791" s="60" t="s">
        <v>2384</v>
      </c>
      <c r="E791" s="50" t="s">
        <v>2360</v>
      </c>
      <c r="F791" s="50" t="s">
        <v>167</v>
      </c>
      <c r="G791" s="60" t="s">
        <v>2385</v>
      </c>
      <c r="H791" s="99"/>
      <c r="I791" s="100">
        <v>15000</v>
      </c>
      <c r="J791" s="99"/>
      <c r="K791" s="99"/>
      <c r="L791" s="89">
        <f t="shared" si="24"/>
        <v>15000</v>
      </c>
      <c r="M791" s="87">
        <f t="shared" si="25"/>
        <v>15000</v>
      </c>
      <c r="N791" s="99"/>
      <c r="O791" s="99"/>
      <c r="P791" s="48">
        <v>41183</v>
      </c>
      <c r="Q791" s="48">
        <v>41609</v>
      </c>
      <c r="R791" s="49">
        <v>11458</v>
      </c>
    </row>
    <row r="792" spans="1:18" s="1" customFormat="1" ht="51" x14ac:dyDescent="0.2">
      <c r="A792" s="45" t="s">
        <v>2386</v>
      </c>
      <c r="B792" s="57">
        <v>25099</v>
      </c>
      <c r="C792" s="60" t="s">
        <v>369</v>
      </c>
      <c r="D792" s="60" t="s">
        <v>1202</v>
      </c>
      <c r="E792" s="50" t="s">
        <v>2360</v>
      </c>
      <c r="F792" s="50" t="s">
        <v>167</v>
      </c>
      <c r="G792" s="60" t="s">
        <v>2387</v>
      </c>
      <c r="H792" s="99"/>
      <c r="I792" s="100">
        <v>15000</v>
      </c>
      <c r="J792" s="99"/>
      <c r="K792" s="99"/>
      <c r="L792" s="89">
        <f t="shared" si="24"/>
        <v>15000</v>
      </c>
      <c r="M792" s="87">
        <f t="shared" si="25"/>
        <v>15000</v>
      </c>
      <c r="N792" s="99"/>
      <c r="O792" s="99"/>
      <c r="P792" s="48">
        <v>41183</v>
      </c>
      <c r="Q792" s="48">
        <v>41548</v>
      </c>
      <c r="R792" s="49">
        <v>11459</v>
      </c>
    </row>
    <row r="793" spans="1:18" s="1" customFormat="1" ht="51" x14ac:dyDescent="0.2">
      <c r="A793" s="45" t="s">
        <v>2388</v>
      </c>
      <c r="B793" s="57">
        <v>23839</v>
      </c>
      <c r="C793" s="60" t="s">
        <v>369</v>
      </c>
      <c r="D793" s="60" t="s">
        <v>2389</v>
      </c>
      <c r="E793" s="50" t="s">
        <v>2360</v>
      </c>
      <c r="F793" s="50" t="s">
        <v>167</v>
      </c>
      <c r="G793" s="60" t="s">
        <v>2390</v>
      </c>
      <c r="H793" s="99"/>
      <c r="I793" s="100">
        <v>15000</v>
      </c>
      <c r="J793" s="99"/>
      <c r="K793" s="99"/>
      <c r="L793" s="89">
        <f t="shared" si="24"/>
        <v>15000</v>
      </c>
      <c r="M793" s="87">
        <f t="shared" si="25"/>
        <v>15000</v>
      </c>
      <c r="N793" s="99"/>
      <c r="O793" s="99"/>
      <c r="P793" s="48">
        <v>41183</v>
      </c>
      <c r="Q793" s="48">
        <v>41548</v>
      </c>
      <c r="R793" s="49">
        <v>11374</v>
      </c>
    </row>
    <row r="794" spans="1:18" s="1" customFormat="1" ht="38.25" x14ac:dyDescent="0.2">
      <c r="A794" s="45" t="s">
        <v>2391</v>
      </c>
      <c r="B794" s="57">
        <v>25261</v>
      </c>
      <c r="C794" s="60" t="s">
        <v>369</v>
      </c>
      <c r="D794" s="60" t="s">
        <v>568</v>
      </c>
      <c r="E794" s="50" t="s">
        <v>2360</v>
      </c>
      <c r="F794" s="50" t="s">
        <v>87</v>
      </c>
      <c r="G794" s="60" t="s">
        <v>2392</v>
      </c>
      <c r="H794" s="99"/>
      <c r="I794" s="100">
        <v>15000</v>
      </c>
      <c r="J794" s="99"/>
      <c r="K794" s="99"/>
      <c r="L794" s="89">
        <f t="shared" si="24"/>
        <v>15000</v>
      </c>
      <c r="M794" s="87">
        <f t="shared" si="25"/>
        <v>15000</v>
      </c>
      <c r="N794" s="99"/>
      <c r="O794" s="99"/>
      <c r="P794" s="48">
        <v>41183</v>
      </c>
      <c r="Q794" s="48">
        <v>41548</v>
      </c>
      <c r="R794" s="49">
        <v>11483</v>
      </c>
    </row>
    <row r="795" spans="1:18" s="1" customFormat="1" ht="76.5" x14ac:dyDescent="0.2">
      <c r="A795" s="45" t="s">
        <v>2393</v>
      </c>
      <c r="B795" s="57">
        <v>25273</v>
      </c>
      <c r="C795" s="60" t="s">
        <v>369</v>
      </c>
      <c r="D795" s="60" t="s">
        <v>1630</v>
      </c>
      <c r="E795" s="50" t="s">
        <v>2360</v>
      </c>
      <c r="F795" s="50" t="s">
        <v>87</v>
      </c>
      <c r="G795" s="60" t="s">
        <v>2394</v>
      </c>
      <c r="H795" s="99"/>
      <c r="I795" s="100">
        <v>15000</v>
      </c>
      <c r="J795" s="99"/>
      <c r="K795" s="99"/>
      <c r="L795" s="89">
        <f t="shared" si="24"/>
        <v>15000</v>
      </c>
      <c r="M795" s="87">
        <f t="shared" si="25"/>
        <v>15000</v>
      </c>
      <c r="N795" s="99"/>
      <c r="O795" s="99"/>
      <c r="P795" s="48">
        <v>41183</v>
      </c>
      <c r="Q795" s="48">
        <v>41548</v>
      </c>
      <c r="R795" s="49">
        <v>11460</v>
      </c>
    </row>
    <row r="796" spans="1:18" s="1" customFormat="1" ht="51" x14ac:dyDescent="0.2">
      <c r="A796" s="45" t="s">
        <v>2395</v>
      </c>
      <c r="B796" s="57">
        <v>25000</v>
      </c>
      <c r="C796" s="60" t="s">
        <v>369</v>
      </c>
      <c r="D796" s="60" t="s">
        <v>2396</v>
      </c>
      <c r="E796" s="50" t="s">
        <v>2360</v>
      </c>
      <c r="F796" s="50" t="s">
        <v>87</v>
      </c>
      <c r="G796" s="60" t="s">
        <v>2397</v>
      </c>
      <c r="H796" s="99"/>
      <c r="I796" s="100">
        <v>15000</v>
      </c>
      <c r="J796" s="99"/>
      <c r="K796" s="99"/>
      <c r="L796" s="89">
        <f t="shared" si="24"/>
        <v>15000</v>
      </c>
      <c r="M796" s="87">
        <f t="shared" si="25"/>
        <v>15000</v>
      </c>
      <c r="N796" s="99"/>
      <c r="O796" s="99"/>
      <c r="P796" s="48">
        <v>41183</v>
      </c>
      <c r="Q796" s="48">
        <v>41548</v>
      </c>
      <c r="R796" s="49">
        <v>11484</v>
      </c>
    </row>
    <row r="797" spans="1:18" s="1" customFormat="1" ht="51" x14ac:dyDescent="0.2">
      <c r="A797" s="45" t="s">
        <v>2398</v>
      </c>
      <c r="B797" s="57">
        <v>24882</v>
      </c>
      <c r="C797" s="60" t="s">
        <v>369</v>
      </c>
      <c r="D797" s="60" t="s">
        <v>1169</v>
      </c>
      <c r="E797" s="50" t="s">
        <v>2360</v>
      </c>
      <c r="F797" s="50" t="s">
        <v>87</v>
      </c>
      <c r="G797" s="60" t="s">
        <v>2399</v>
      </c>
      <c r="H797" s="99"/>
      <c r="I797" s="100">
        <v>15000</v>
      </c>
      <c r="J797" s="99"/>
      <c r="K797" s="99"/>
      <c r="L797" s="89">
        <f t="shared" si="24"/>
        <v>15000</v>
      </c>
      <c r="M797" s="87">
        <f t="shared" si="25"/>
        <v>15000</v>
      </c>
      <c r="N797" s="99"/>
      <c r="O797" s="99"/>
      <c r="P797" s="48">
        <v>41183</v>
      </c>
      <c r="Q797" s="48">
        <v>41548</v>
      </c>
      <c r="R797" s="49">
        <v>11447</v>
      </c>
    </row>
    <row r="798" spans="1:18" s="1" customFormat="1" ht="76.5" x14ac:dyDescent="0.2">
      <c r="A798" s="45" t="s">
        <v>2400</v>
      </c>
      <c r="B798" s="57">
        <v>20776</v>
      </c>
      <c r="C798" s="60" t="s">
        <v>369</v>
      </c>
      <c r="D798" s="60" t="s">
        <v>2401</v>
      </c>
      <c r="E798" s="50" t="s">
        <v>2360</v>
      </c>
      <c r="F798" s="50" t="s">
        <v>87</v>
      </c>
      <c r="G798" s="60" t="s">
        <v>2402</v>
      </c>
      <c r="H798" s="99"/>
      <c r="I798" s="100">
        <v>15000</v>
      </c>
      <c r="J798" s="99"/>
      <c r="K798" s="99"/>
      <c r="L798" s="89">
        <f t="shared" si="24"/>
        <v>15000</v>
      </c>
      <c r="M798" s="87">
        <f t="shared" si="25"/>
        <v>15000</v>
      </c>
      <c r="N798" s="99"/>
      <c r="O798" s="99"/>
      <c r="P798" s="48">
        <v>41183</v>
      </c>
      <c r="Q798" s="48">
        <v>41548</v>
      </c>
      <c r="R798" s="49">
        <v>11372</v>
      </c>
    </row>
    <row r="799" spans="1:18" s="1" customFormat="1" ht="76.5" x14ac:dyDescent="0.2">
      <c r="A799" s="45" t="s">
        <v>2403</v>
      </c>
      <c r="B799" s="57">
        <v>17459</v>
      </c>
      <c r="C799" s="60" t="s">
        <v>457</v>
      </c>
      <c r="D799" s="60" t="s">
        <v>2404</v>
      </c>
      <c r="E799" s="50" t="s">
        <v>2360</v>
      </c>
      <c r="F799" s="50" t="s">
        <v>167</v>
      </c>
      <c r="G799" s="60" t="s">
        <v>2405</v>
      </c>
      <c r="H799" s="99"/>
      <c r="I799" s="100">
        <v>15000</v>
      </c>
      <c r="J799" s="99"/>
      <c r="K799" s="99"/>
      <c r="L799" s="89">
        <f t="shared" si="24"/>
        <v>15000</v>
      </c>
      <c r="M799" s="87">
        <f t="shared" si="25"/>
        <v>15000</v>
      </c>
      <c r="N799" s="99"/>
      <c r="O799" s="99"/>
      <c r="P799" s="48">
        <v>41183</v>
      </c>
      <c r="Q799" s="68">
        <v>41548</v>
      </c>
      <c r="R799" s="49">
        <v>11326</v>
      </c>
    </row>
    <row r="800" spans="1:18" s="1" customFormat="1" ht="51" x14ac:dyDescent="0.2">
      <c r="A800" s="45" t="s">
        <v>2406</v>
      </c>
      <c r="B800" s="57">
        <v>25214</v>
      </c>
      <c r="C800" s="60" t="s">
        <v>457</v>
      </c>
      <c r="D800" s="60" t="s">
        <v>2407</v>
      </c>
      <c r="E800" s="50" t="s">
        <v>2360</v>
      </c>
      <c r="F800" s="50" t="s">
        <v>167</v>
      </c>
      <c r="G800" s="60" t="s">
        <v>2408</v>
      </c>
      <c r="H800" s="99"/>
      <c r="I800" s="100">
        <v>15000</v>
      </c>
      <c r="J800" s="99"/>
      <c r="K800" s="99"/>
      <c r="L800" s="89">
        <f t="shared" si="24"/>
        <v>15000</v>
      </c>
      <c r="M800" s="87">
        <f t="shared" si="25"/>
        <v>15000</v>
      </c>
      <c r="N800" s="99"/>
      <c r="O800" s="99"/>
      <c r="P800" s="48">
        <v>41183</v>
      </c>
      <c r="Q800" s="48">
        <v>41548</v>
      </c>
      <c r="R800" s="49">
        <v>11333</v>
      </c>
    </row>
    <row r="801" spans="1:18" s="1" customFormat="1" ht="51" x14ac:dyDescent="0.2">
      <c r="A801" s="45" t="s">
        <v>2409</v>
      </c>
      <c r="B801" s="57">
        <v>25353</v>
      </c>
      <c r="C801" s="60" t="s">
        <v>457</v>
      </c>
      <c r="D801" s="60" t="s">
        <v>2410</v>
      </c>
      <c r="E801" s="50" t="s">
        <v>2360</v>
      </c>
      <c r="F801" s="50" t="s">
        <v>167</v>
      </c>
      <c r="G801" s="60" t="s">
        <v>2411</v>
      </c>
      <c r="H801" s="99"/>
      <c r="I801" s="100">
        <v>15000</v>
      </c>
      <c r="J801" s="99"/>
      <c r="K801" s="99"/>
      <c r="L801" s="89">
        <f t="shared" si="24"/>
        <v>15000</v>
      </c>
      <c r="M801" s="87">
        <f t="shared" si="25"/>
        <v>15000</v>
      </c>
      <c r="N801" s="99"/>
      <c r="O801" s="99"/>
      <c r="P801" s="48">
        <v>41183</v>
      </c>
      <c r="Q801" s="48">
        <v>41548</v>
      </c>
      <c r="R801" s="49">
        <v>11329</v>
      </c>
    </row>
    <row r="802" spans="1:18" s="1" customFormat="1" ht="38.25" x14ac:dyDescent="0.2">
      <c r="A802" s="45" t="s">
        <v>2412</v>
      </c>
      <c r="B802" s="57">
        <v>25179</v>
      </c>
      <c r="C802" s="60" t="s">
        <v>457</v>
      </c>
      <c r="D802" s="60" t="s">
        <v>2413</v>
      </c>
      <c r="E802" s="50" t="s">
        <v>2360</v>
      </c>
      <c r="F802" s="50" t="s">
        <v>167</v>
      </c>
      <c r="G802" s="60" t="s">
        <v>2414</v>
      </c>
      <c r="H802" s="99"/>
      <c r="I802" s="100">
        <v>15000</v>
      </c>
      <c r="J802" s="99"/>
      <c r="K802" s="99"/>
      <c r="L802" s="89">
        <f t="shared" si="24"/>
        <v>15000</v>
      </c>
      <c r="M802" s="87">
        <f t="shared" si="25"/>
        <v>15000</v>
      </c>
      <c r="N802" s="99"/>
      <c r="O802" s="99"/>
      <c r="P802" s="48">
        <v>41183</v>
      </c>
      <c r="Q802" s="48">
        <v>41548</v>
      </c>
      <c r="R802" s="49">
        <v>11328</v>
      </c>
    </row>
    <row r="803" spans="1:18" s="1" customFormat="1" ht="38.25" x14ac:dyDescent="0.2">
      <c r="A803" s="45" t="s">
        <v>2415</v>
      </c>
      <c r="B803" s="57">
        <v>25029</v>
      </c>
      <c r="C803" s="60" t="s">
        <v>319</v>
      </c>
      <c r="D803" s="60" t="s">
        <v>2416</v>
      </c>
      <c r="E803" s="50" t="s">
        <v>2360</v>
      </c>
      <c r="F803" s="50" t="s">
        <v>94</v>
      </c>
      <c r="G803" s="60" t="s">
        <v>2417</v>
      </c>
      <c r="H803" s="99"/>
      <c r="I803" s="100">
        <v>15000</v>
      </c>
      <c r="J803" s="99"/>
      <c r="K803" s="99"/>
      <c r="L803" s="89">
        <f t="shared" si="24"/>
        <v>15000</v>
      </c>
      <c r="M803" s="87">
        <f t="shared" si="25"/>
        <v>15000</v>
      </c>
      <c r="N803" s="99"/>
      <c r="O803" s="99"/>
      <c r="P803" s="48">
        <v>41183</v>
      </c>
      <c r="Q803" s="48">
        <v>41548</v>
      </c>
      <c r="R803" s="49">
        <v>11972</v>
      </c>
    </row>
    <row r="804" spans="1:18" s="1" customFormat="1" ht="89.25" x14ac:dyDescent="0.2">
      <c r="A804" s="45" t="s">
        <v>2418</v>
      </c>
      <c r="B804" s="57">
        <v>24760</v>
      </c>
      <c r="C804" s="60" t="s">
        <v>319</v>
      </c>
      <c r="D804" s="60" t="s">
        <v>1070</v>
      </c>
      <c r="E804" s="50" t="s">
        <v>2360</v>
      </c>
      <c r="F804" s="50" t="s">
        <v>94</v>
      </c>
      <c r="G804" s="60" t="s">
        <v>2419</v>
      </c>
      <c r="H804" s="99"/>
      <c r="I804" s="100">
        <v>15000</v>
      </c>
      <c r="J804" s="99"/>
      <c r="K804" s="99"/>
      <c r="L804" s="89">
        <f t="shared" si="24"/>
        <v>15000</v>
      </c>
      <c r="M804" s="87">
        <f t="shared" si="25"/>
        <v>15000</v>
      </c>
      <c r="N804" s="99"/>
      <c r="O804" s="99"/>
      <c r="P804" s="48">
        <v>41183</v>
      </c>
      <c r="Q804" s="48">
        <v>41548</v>
      </c>
      <c r="R804" s="49">
        <v>11974</v>
      </c>
    </row>
    <row r="805" spans="1:18" s="1" customFormat="1" ht="63.75" x14ac:dyDescent="0.2">
      <c r="A805" s="45" t="s">
        <v>2420</v>
      </c>
      <c r="B805" s="57">
        <v>24718</v>
      </c>
      <c r="C805" s="60" t="s">
        <v>319</v>
      </c>
      <c r="D805" s="60" t="s">
        <v>2421</v>
      </c>
      <c r="E805" s="50" t="s">
        <v>2360</v>
      </c>
      <c r="F805" s="50" t="s">
        <v>94</v>
      </c>
      <c r="G805" s="60" t="s">
        <v>2422</v>
      </c>
      <c r="H805" s="99"/>
      <c r="I805" s="100">
        <v>15000</v>
      </c>
      <c r="J805" s="99"/>
      <c r="K805" s="99"/>
      <c r="L805" s="89">
        <f t="shared" si="24"/>
        <v>15000</v>
      </c>
      <c r="M805" s="87">
        <f t="shared" si="25"/>
        <v>15000</v>
      </c>
      <c r="N805" s="99"/>
      <c r="O805" s="99"/>
      <c r="P805" s="48">
        <v>41183</v>
      </c>
      <c r="Q805" s="48">
        <v>41548</v>
      </c>
      <c r="R805" s="49">
        <v>11970</v>
      </c>
    </row>
    <row r="806" spans="1:18" s="1" customFormat="1" ht="76.5" x14ac:dyDescent="0.2">
      <c r="A806" s="45" t="s">
        <v>2423</v>
      </c>
      <c r="B806" s="57">
        <v>25272</v>
      </c>
      <c r="C806" s="60" t="s">
        <v>35</v>
      </c>
      <c r="D806" s="60" t="s">
        <v>2424</v>
      </c>
      <c r="E806" s="50" t="s">
        <v>2360</v>
      </c>
      <c r="F806" s="50" t="s">
        <v>26</v>
      </c>
      <c r="G806" s="60" t="s">
        <v>2425</v>
      </c>
      <c r="H806" s="99"/>
      <c r="I806" s="100">
        <v>15000</v>
      </c>
      <c r="J806" s="99"/>
      <c r="K806" s="99"/>
      <c r="L806" s="89">
        <f t="shared" si="24"/>
        <v>15000</v>
      </c>
      <c r="M806" s="87">
        <f t="shared" si="25"/>
        <v>15000</v>
      </c>
      <c r="N806" s="99"/>
      <c r="O806" s="99"/>
      <c r="P806" s="48">
        <v>41183</v>
      </c>
      <c r="Q806" s="48">
        <v>41548</v>
      </c>
      <c r="R806" s="49">
        <v>11754</v>
      </c>
    </row>
    <row r="807" spans="1:18" s="1" customFormat="1" ht="38.25" x14ac:dyDescent="0.2">
      <c r="A807" s="45" t="s">
        <v>2426</v>
      </c>
      <c r="B807" s="57">
        <v>24846</v>
      </c>
      <c r="C807" s="60" t="s">
        <v>35</v>
      </c>
      <c r="D807" s="60" t="s">
        <v>2427</v>
      </c>
      <c r="E807" s="50" t="s">
        <v>2360</v>
      </c>
      <c r="F807" s="50" t="s">
        <v>71</v>
      </c>
      <c r="G807" s="60" t="s">
        <v>2428</v>
      </c>
      <c r="H807" s="99"/>
      <c r="I807" s="100">
        <v>15000</v>
      </c>
      <c r="J807" s="99"/>
      <c r="K807" s="99"/>
      <c r="L807" s="89">
        <f t="shared" si="24"/>
        <v>15000</v>
      </c>
      <c r="M807" s="87">
        <f t="shared" si="25"/>
        <v>15000</v>
      </c>
      <c r="N807" s="99"/>
      <c r="O807" s="99"/>
      <c r="P807" s="48">
        <v>41183</v>
      </c>
      <c r="Q807" s="48">
        <v>41548</v>
      </c>
      <c r="R807" s="49">
        <v>11671</v>
      </c>
    </row>
    <row r="808" spans="1:18" s="1" customFormat="1" ht="63.75" x14ac:dyDescent="0.2">
      <c r="A808" s="45" t="s">
        <v>2429</v>
      </c>
      <c r="B808" s="57">
        <v>25169</v>
      </c>
      <c r="C808" s="60" t="s">
        <v>35</v>
      </c>
      <c r="D808" s="60" t="s">
        <v>2430</v>
      </c>
      <c r="E808" s="50" t="s">
        <v>2360</v>
      </c>
      <c r="F808" s="50" t="s">
        <v>71</v>
      </c>
      <c r="G808" s="60" t="s">
        <v>2431</v>
      </c>
      <c r="H808" s="99"/>
      <c r="I808" s="100">
        <v>15000</v>
      </c>
      <c r="J808" s="99"/>
      <c r="K808" s="99"/>
      <c r="L808" s="89">
        <f t="shared" si="24"/>
        <v>15000</v>
      </c>
      <c r="M808" s="87">
        <f t="shared" si="25"/>
        <v>15000</v>
      </c>
      <c r="N808" s="99"/>
      <c r="O808" s="99"/>
      <c r="P808" s="48">
        <v>41183</v>
      </c>
      <c r="Q808" s="48">
        <v>41548</v>
      </c>
      <c r="R808" s="49">
        <v>11672</v>
      </c>
    </row>
    <row r="809" spans="1:18" s="1" customFormat="1" ht="51" x14ac:dyDescent="0.2">
      <c r="A809" s="45" t="s">
        <v>2432</v>
      </c>
      <c r="B809" s="57">
        <v>25323</v>
      </c>
      <c r="C809" s="60" t="s">
        <v>35</v>
      </c>
      <c r="D809" s="60" t="s">
        <v>2433</v>
      </c>
      <c r="E809" s="50" t="s">
        <v>2360</v>
      </c>
      <c r="F809" s="50" t="s">
        <v>71</v>
      </c>
      <c r="G809" s="60" t="s">
        <v>2434</v>
      </c>
      <c r="H809" s="99"/>
      <c r="I809" s="100">
        <v>15000</v>
      </c>
      <c r="J809" s="99"/>
      <c r="K809" s="99"/>
      <c r="L809" s="89">
        <f t="shared" si="24"/>
        <v>15000</v>
      </c>
      <c r="M809" s="87">
        <f t="shared" si="25"/>
        <v>15000</v>
      </c>
      <c r="N809" s="99"/>
      <c r="O809" s="99"/>
      <c r="P809" s="48">
        <v>41183</v>
      </c>
      <c r="Q809" s="48">
        <v>41548</v>
      </c>
      <c r="R809" s="49">
        <v>11669</v>
      </c>
    </row>
    <row r="810" spans="1:18" s="1" customFormat="1" ht="89.25" x14ac:dyDescent="0.2">
      <c r="A810" s="45" t="s">
        <v>2435</v>
      </c>
      <c r="B810" s="57">
        <v>25247</v>
      </c>
      <c r="C810" s="60" t="s">
        <v>35</v>
      </c>
      <c r="D810" s="60" t="s">
        <v>2436</v>
      </c>
      <c r="E810" s="50" t="s">
        <v>2360</v>
      </c>
      <c r="F810" s="50" t="s">
        <v>398</v>
      </c>
      <c r="G810" s="60" t="s">
        <v>2437</v>
      </c>
      <c r="H810" s="99"/>
      <c r="I810" s="100">
        <v>15000</v>
      </c>
      <c r="J810" s="99"/>
      <c r="K810" s="99"/>
      <c r="L810" s="89">
        <f t="shared" si="24"/>
        <v>15000</v>
      </c>
      <c r="M810" s="87">
        <f t="shared" si="25"/>
        <v>15000</v>
      </c>
      <c r="N810" s="99"/>
      <c r="O810" s="99"/>
      <c r="P810" s="48">
        <v>41183</v>
      </c>
      <c r="Q810" s="48">
        <v>41548</v>
      </c>
      <c r="R810" s="49">
        <v>11673</v>
      </c>
    </row>
    <row r="811" spans="1:18" s="1" customFormat="1" ht="51" x14ac:dyDescent="0.2">
      <c r="A811" s="45" t="s">
        <v>2438</v>
      </c>
      <c r="B811" s="57">
        <v>25133</v>
      </c>
      <c r="C811" s="60" t="s">
        <v>35</v>
      </c>
      <c r="D811" s="60" t="s">
        <v>2439</v>
      </c>
      <c r="E811" s="50" t="s">
        <v>2360</v>
      </c>
      <c r="F811" s="50" t="s">
        <v>45</v>
      </c>
      <c r="G811" s="60" t="s">
        <v>2440</v>
      </c>
      <c r="H811" s="99"/>
      <c r="I811" s="100">
        <v>15000</v>
      </c>
      <c r="J811" s="99"/>
      <c r="K811" s="99"/>
      <c r="L811" s="89">
        <f t="shared" si="24"/>
        <v>15000</v>
      </c>
      <c r="M811" s="87">
        <f t="shared" si="25"/>
        <v>15000</v>
      </c>
      <c r="N811" s="99"/>
      <c r="O811" s="99"/>
      <c r="P811" s="48">
        <v>41183</v>
      </c>
      <c r="Q811" s="48">
        <v>41548</v>
      </c>
      <c r="R811" s="49">
        <v>11675</v>
      </c>
    </row>
    <row r="812" spans="1:18" s="1" customFormat="1" ht="25.5" x14ac:dyDescent="0.2">
      <c r="A812" s="45" t="s">
        <v>2441</v>
      </c>
      <c r="B812" s="57">
        <v>25157</v>
      </c>
      <c r="C812" s="60" t="s">
        <v>35</v>
      </c>
      <c r="D812" s="60" t="s">
        <v>2442</v>
      </c>
      <c r="E812" s="50" t="s">
        <v>2360</v>
      </c>
      <c r="F812" s="50" t="s">
        <v>45</v>
      </c>
      <c r="G812" s="60" t="s">
        <v>2443</v>
      </c>
      <c r="H812" s="99"/>
      <c r="I812" s="100">
        <v>15000</v>
      </c>
      <c r="J812" s="99"/>
      <c r="K812" s="99"/>
      <c r="L812" s="89">
        <f t="shared" si="24"/>
        <v>15000</v>
      </c>
      <c r="M812" s="87">
        <f t="shared" si="25"/>
        <v>15000</v>
      </c>
      <c r="N812" s="99"/>
      <c r="O812" s="99"/>
      <c r="P812" s="48">
        <v>41183</v>
      </c>
      <c r="Q812" s="48">
        <v>41548</v>
      </c>
      <c r="R812" s="49">
        <v>11400</v>
      </c>
    </row>
    <row r="813" spans="1:18" s="1" customFormat="1" ht="38.25" x14ac:dyDescent="0.2">
      <c r="A813" s="45" t="s">
        <v>2444</v>
      </c>
      <c r="B813" s="57">
        <v>23491</v>
      </c>
      <c r="C813" s="60" t="s">
        <v>35</v>
      </c>
      <c r="D813" s="60" t="s">
        <v>2445</v>
      </c>
      <c r="E813" s="50" t="s">
        <v>2360</v>
      </c>
      <c r="F813" s="50" t="s">
        <v>22</v>
      </c>
      <c r="G813" s="60" t="s">
        <v>2446</v>
      </c>
      <c r="H813" s="99"/>
      <c r="I813" s="100">
        <v>15000</v>
      </c>
      <c r="J813" s="99"/>
      <c r="K813" s="99"/>
      <c r="L813" s="89">
        <f t="shared" si="24"/>
        <v>15000</v>
      </c>
      <c r="M813" s="87">
        <f t="shared" si="25"/>
        <v>15000</v>
      </c>
      <c r="N813" s="99"/>
      <c r="O813" s="99"/>
      <c r="P813" s="48">
        <v>41183</v>
      </c>
      <c r="Q813" s="48">
        <v>41548</v>
      </c>
      <c r="R813" s="49">
        <v>11728</v>
      </c>
    </row>
    <row r="814" spans="1:18" s="1" customFormat="1" ht="51" x14ac:dyDescent="0.2">
      <c r="A814" s="45" t="s">
        <v>2447</v>
      </c>
      <c r="B814" s="57">
        <v>20770</v>
      </c>
      <c r="C814" s="60" t="s">
        <v>35</v>
      </c>
      <c r="D814" s="60" t="s">
        <v>2448</v>
      </c>
      <c r="E814" s="50" t="s">
        <v>2360</v>
      </c>
      <c r="F814" s="50" t="s">
        <v>109</v>
      </c>
      <c r="G814" s="60" t="s">
        <v>2449</v>
      </c>
      <c r="H814" s="99"/>
      <c r="I814" s="100">
        <v>15000</v>
      </c>
      <c r="J814" s="99"/>
      <c r="K814" s="99"/>
      <c r="L814" s="89">
        <f t="shared" si="24"/>
        <v>15000</v>
      </c>
      <c r="M814" s="87">
        <f t="shared" si="25"/>
        <v>15000</v>
      </c>
      <c r="N814" s="99"/>
      <c r="O814" s="99"/>
      <c r="P814" s="48">
        <v>41183</v>
      </c>
      <c r="Q814" s="48">
        <v>41548</v>
      </c>
      <c r="R814" s="49">
        <v>11727</v>
      </c>
    </row>
    <row r="815" spans="1:18" s="1" customFormat="1" ht="63.75" x14ac:dyDescent="0.2">
      <c r="A815" s="45" t="s">
        <v>2450</v>
      </c>
      <c r="B815" s="57">
        <v>23023</v>
      </c>
      <c r="C815" s="60" t="s">
        <v>35</v>
      </c>
      <c r="D815" s="60" t="s">
        <v>2451</v>
      </c>
      <c r="E815" s="50" t="s">
        <v>2360</v>
      </c>
      <c r="F815" s="50" t="s">
        <v>109</v>
      </c>
      <c r="G815" s="60" t="s">
        <v>2452</v>
      </c>
      <c r="H815" s="99"/>
      <c r="I815" s="100">
        <v>12000</v>
      </c>
      <c r="J815" s="99"/>
      <c r="K815" s="99"/>
      <c r="L815" s="89">
        <f t="shared" si="24"/>
        <v>12000</v>
      </c>
      <c r="M815" s="87">
        <f t="shared" si="25"/>
        <v>12000</v>
      </c>
      <c r="N815" s="99"/>
      <c r="O815" s="99"/>
      <c r="P815" s="48">
        <v>41183</v>
      </c>
      <c r="Q815" s="48">
        <v>41548</v>
      </c>
      <c r="R815" s="49">
        <v>11725</v>
      </c>
    </row>
    <row r="816" spans="1:18" s="1" customFormat="1" ht="25.5" x14ac:dyDescent="0.2">
      <c r="A816" s="45" t="s">
        <v>2453</v>
      </c>
      <c r="B816" s="57">
        <v>24961</v>
      </c>
      <c r="C816" s="60" t="s">
        <v>35</v>
      </c>
      <c r="D816" s="60" t="s">
        <v>2454</v>
      </c>
      <c r="E816" s="50" t="s">
        <v>2360</v>
      </c>
      <c r="F816" s="50" t="s">
        <v>98</v>
      </c>
      <c r="G816" s="60" t="s">
        <v>2455</v>
      </c>
      <c r="H816" s="99"/>
      <c r="I816" s="100">
        <v>15000</v>
      </c>
      <c r="J816" s="99"/>
      <c r="K816" s="99"/>
      <c r="L816" s="89">
        <f t="shared" si="24"/>
        <v>15000</v>
      </c>
      <c r="M816" s="87">
        <f t="shared" si="25"/>
        <v>15000</v>
      </c>
      <c r="N816" s="99"/>
      <c r="O816" s="99"/>
      <c r="P816" s="48">
        <v>41183</v>
      </c>
      <c r="Q816" s="48">
        <v>41548</v>
      </c>
      <c r="R816" s="49">
        <v>11491</v>
      </c>
    </row>
    <row r="817" spans="1:18" s="1" customFormat="1" ht="63.75" x14ac:dyDescent="0.2">
      <c r="A817" s="45" t="s">
        <v>2456</v>
      </c>
      <c r="B817" s="57">
        <v>25318</v>
      </c>
      <c r="C817" s="60" t="s">
        <v>35</v>
      </c>
      <c r="D817" s="60" t="s">
        <v>2457</v>
      </c>
      <c r="E817" s="50" t="s">
        <v>2360</v>
      </c>
      <c r="F817" s="50" t="s">
        <v>109</v>
      </c>
      <c r="G817" s="60" t="s">
        <v>2458</v>
      </c>
      <c r="H817" s="99"/>
      <c r="I817" s="100">
        <v>15000</v>
      </c>
      <c r="J817" s="99"/>
      <c r="K817" s="99"/>
      <c r="L817" s="89">
        <f t="shared" si="24"/>
        <v>15000</v>
      </c>
      <c r="M817" s="87">
        <f t="shared" si="25"/>
        <v>15000</v>
      </c>
      <c r="N817" s="99"/>
      <c r="O817" s="99"/>
      <c r="P817" s="48">
        <v>41183</v>
      </c>
      <c r="Q817" s="48">
        <v>41548</v>
      </c>
      <c r="R817" s="49">
        <v>11490</v>
      </c>
    </row>
    <row r="818" spans="1:18" s="1" customFormat="1" ht="63.75" x14ac:dyDescent="0.2">
      <c r="A818" s="45" t="s">
        <v>2459</v>
      </c>
      <c r="B818" s="57">
        <v>22922</v>
      </c>
      <c r="C818" s="60" t="s">
        <v>35</v>
      </c>
      <c r="D818" s="60" t="s">
        <v>2460</v>
      </c>
      <c r="E818" s="50" t="s">
        <v>2360</v>
      </c>
      <c r="F818" s="50" t="s">
        <v>87</v>
      </c>
      <c r="G818" s="60" t="s">
        <v>2461</v>
      </c>
      <c r="H818" s="99"/>
      <c r="I818" s="100">
        <v>15000</v>
      </c>
      <c r="J818" s="99"/>
      <c r="K818" s="99"/>
      <c r="L818" s="89">
        <f t="shared" si="24"/>
        <v>15000</v>
      </c>
      <c r="M818" s="87">
        <f t="shared" si="25"/>
        <v>15000</v>
      </c>
      <c r="N818" s="99"/>
      <c r="O818" s="99"/>
      <c r="P818" s="48">
        <v>41183</v>
      </c>
      <c r="Q818" s="48">
        <v>41548</v>
      </c>
      <c r="R818" s="49">
        <v>11753</v>
      </c>
    </row>
    <row r="819" spans="1:18" s="1" customFormat="1" ht="89.25" x14ac:dyDescent="0.2">
      <c r="A819" s="45" t="s">
        <v>2462</v>
      </c>
      <c r="B819" s="57">
        <v>23390</v>
      </c>
      <c r="C819" s="60" t="s">
        <v>35</v>
      </c>
      <c r="D819" s="60" t="s">
        <v>2136</v>
      </c>
      <c r="E819" s="50" t="s">
        <v>2360</v>
      </c>
      <c r="F819" s="50" t="s">
        <v>87</v>
      </c>
      <c r="G819" s="60" t="s">
        <v>2463</v>
      </c>
      <c r="H819" s="99"/>
      <c r="I819" s="100">
        <v>15000</v>
      </c>
      <c r="J819" s="99"/>
      <c r="K819" s="99"/>
      <c r="L819" s="89">
        <f t="shared" si="24"/>
        <v>15000</v>
      </c>
      <c r="M819" s="87">
        <f t="shared" si="25"/>
        <v>15000</v>
      </c>
      <c r="N819" s="99"/>
      <c r="O819" s="99"/>
      <c r="P819" s="48">
        <v>41183</v>
      </c>
      <c r="Q819" s="48">
        <v>41548</v>
      </c>
      <c r="R819" s="49">
        <v>11719</v>
      </c>
    </row>
    <row r="820" spans="1:18" s="1" customFormat="1" ht="89.25" x14ac:dyDescent="0.2">
      <c r="A820" s="45" t="s">
        <v>2464</v>
      </c>
      <c r="B820" s="57">
        <v>24406</v>
      </c>
      <c r="C820" s="60" t="s">
        <v>35</v>
      </c>
      <c r="D820" s="60" t="s">
        <v>1778</v>
      </c>
      <c r="E820" s="50" t="s">
        <v>2360</v>
      </c>
      <c r="F820" s="50" t="s">
        <v>87</v>
      </c>
      <c r="G820" s="60" t="s">
        <v>2465</v>
      </c>
      <c r="H820" s="99"/>
      <c r="I820" s="100">
        <v>15000</v>
      </c>
      <c r="J820" s="99"/>
      <c r="K820" s="99"/>
      <c r="L820" s="89">
        <f t="shared" si="24"/>
        <v>15000</v>
      </c>
      <c r="M820" s="87">
        <f t="shared" si="25"/>
        <v>15000</v>
      </c>
      <c r="N820" s="99"/>
      <c r="O820" s="99"/>
      <c r="P820" s="48">
        <v>41183</v>
      </c>
      <c r="Q820" s="48">
        <v>41548</v>
      </c>
      <c r="R820" s="49">
        <v>11720</v>
      </c>
    </row>
    <row r="821" spans="1:18" s="1" customFormat="1" ht="63.75" x14ac:dyDescent="0.2">
      <c r="A821" s="45" t="s">
        <v>2466</v>
      </c>
      <c r="B821" s="57">
        <v>25246</v>
      </c>
      <c r="C821" s="60" t="s">
        <v>35</v>
      </c>
      <c r="D821" s="60" t="s">
        <v>1982</v>
      </c>
      <c r="E821" s="50" t="s">
        <v>2360</v>
      </c>
      <c r="F821" s="50" t="s">
        <v>87</v>
      </c>
      <c r="G821" s="60" t="s">
        <v>2467</v>
      </c>
      <c r="H821" s="99"/>
      <c r="I821" s="100">
        <v>15000</v>
      </c>
      <c r="J821" s="99"/>
      <c r="K821" s="99"/>
      <c r="L821" s="89">
        <f t="shared" si="24"/>
        <v>15000</v>
      </c>
      <c r="M821" s="87">
        <f t="shared" si="25"/>
        <v>15000</v>
      </c>
      <c r="N821" s="99"/>
      <c r="O821" s="99"/>
      <c r="P821" s="48">
        <v>41183</v>
      </c>
      <c r="Q821" s="48">
        <v>41548</v>
      </c>
      <c r="R821" s="49">
        <v>11741</v>
      </c>
    </row>
    <row r="822" spans="1:18" s="1" customFormat="1" ht="63.75" x14ac:dyDescent="0.2">
      <c r="A822" s="45" t="s">
        <v>2468</v>
      </c>
      <c r="B822" s="57">
        <v>25146</v>
      </c>
      <c r="C822" s="60" t="s">
        <v>35</v>
      </c>
      <c r="D822" s="60" t="s">
        <v>2469</v>
      </c>
      <c r="E822" s="50" t="s">
        <v>2360</v>
      </c>
      <c r="F822" s="50" t="s">
        <v>87</v>
      </c>
      <c r="G822" s="60" t="s">
        <v>2470</v>
      </c>
      <c r="H822" s="99"/>
      <c r="I822" s="100">
        <v>15000</v>
      </c>
      <c r="J822" s="99"/>
      <c r="K822" s="99"/>
      <c r="L822" s="89">
        <f t="shared" si="24"/>
        <v>15000</v>
      </c>
      <c r="M822" s="87">
        <f t="shared" si="25"/>
        <v>15000</v>
      </c>
      <c r="N822" s="99"/>
      <c r="O822" s="99"/>
      <c r="P822" s="48">
        <v>41183</v>
      </c>
      <c r="Q822" s="48">
        <v>41548</v>
      </c>
      <c r="R822" s="49">
        <v>11730</v>
      </c>
    </row>
    <row r="823" spans="1:18" s="1" customFormat="1" ht="51" x14ac:dyDescent="0.2">
      <c r="A823" s="45" t="s">
        <v>2471</v>
      </c>
      <c r="B823" s="57">
        <v>25370</v>
      </c>
      <c r="C823" s="60" t="s">
        <v>35</v>
      </c>
      <c r="D823" s="60" t="s">
        <v>2472</v>
      </c>
      <c r="E823" s="50" t="s">
        <v>2360</v>
      </c>
      <c r="F823" s="50" t="s">
        <v>87</v>
      </c>
      <c r="G823" s="60" t="s">
        <v>2473</v>
      </c>
      <c r="H823" s="99"/>
      <c r="I823" s="100">
        <v>12000</v>
      </c>
      <c r="J823" s="99"/>
      <c r="K823" s="99"/>
      <c r="L823" s="89">
        <f t="shared" si="24"/>
        <v>12000</v>
      </c>
      <c r="M823" s="87">
        <f t="shared" si="25"/>
        <v>12000</v>
      </c>
      <c r="N823" s="99"/>
      <c r="O823" s="99"/>
      <c r="P823" s="48">
        <v>41183</v>
      </c>
      <c r="Q823" s="48">
        <v>41548</v>
      </c>
      <c r="R823" s="49">
        <v>11398</v>
      </c>
    </row>
    <row r="824" spans="1:18" s="1" customFormat="1" ht="51" x14ac:dyDescent="0.2">
      <c r="A824" s="45" t="s">
        <v>2474</v>
      </c>
      <c r="B824" s="57">
        <v>25306</v>
      </c>
      <c r="C824" s="60" t="s">
        <v>35</v>
      </c>
      <c r="D824" s="60" t="s">
        <v>2475</v>
      </c>
      <c r="E824" s="50" t="s">
        <v>2360</v>
      </c>
      <c r="F824" s="50" t="s">
        <v>87</v>
      </c>
      <c r="G824" s="60" t="s">
        <v>2476</v>
      </c>
      <c r="H824" s="99"/>
      <c r="I824" s="100">
        <v>15000</v>
      </c>
      <c r="J824" s="99"/>
      <c r="K824" s="99"/>
      <c r="L824" s="89">
        <f t="shared" si="24"/>
        <v>15000</v>
      </c>
      <c r="M824" s="87">
        <f t="shared" si="25"/>
        <v>15000</v>
      </c>
      <c r="N824" s="99"/>
      <c r="O824" s="99"/>
      <c r="P824" s="48">
        <v>41183</v>
      </c>
      <c r="Q824" s="48">
        <v>41548</v>
      </c>
      <c r="R824" s="49">
        <v>11396</v>
      </c>
    </row>
    <row r="825" spans="1:18" s="1" customFormat="1" ht="51" x14ac:dyDescent="0.2">
      <c r="A825" s="45" t="s">
        <v>2477</v>
      </c>
      <c r="B825" s="57">
        <v>17154</v>
      </c>
      <c r="C825" s="60" t="s">
        <v>35</v>
      </c>
      <c r="D825" s="60" t="s">
        <v>2478</v>
      </c>
      <c r="E825" s="50" t="s">
        <v>2360</v>
      </c>
      <c r="F825" s="50" t="s">
        <v>26</v>
      </c>
      <c r="G825" s="60" t="s">
        <v>2479</v>
      </c>
      <c r="H825" s="99"/>
      <c r="I825" s="100">
        <v>15000</v>
      </c>
      <c r="J825" s="99"/>
      <c r="K825" s="99"/>
      <c r="L825" s="89">
        <f t="shared" si="24"/>
        <v>15000</v>
      </c>
      <c r="M825" s="87">
        <f t="shared" si="25"/>
        <v>15000</v>
      </c>
      <c r="N825" s="99"/>
      <c r="O825" s="99"/>
      <c r="P825" s="48">
        <v>41183</v>
      </c>
      <c r="Q825" s="68">
        <v>41548</v>
      </c>
      <c r="R825" s="49">
        <v>11394</v>
      </c>
    </row>
    <row r="826" spans="1:18" s="1" customFormat="1" ht="51" x14ac:dyDescent="0.2">
      <c r="A826" s="45" t="s">
        <v>2480</v>
      </c>
      <c r="B826" s="57">
        <v>24498</v>
      </c>
      <c r="C826" s="60" t="s">
        <v>35</v>
      </c>
      <c r="D826" s="60" t="s">
        <v>946</v>
      </c>
      <c r="E826" s="50" t="s">
        <v>2360</v>
      </c>
      <c r="F826" s="50" t="s">
        <v>26</v>
      </c>
      <c r="G826" s="60" t="s">
        <v>2481</v>
      </c>
      <c r="H826" s="99"/>
      <c r="I826" s="100">
        <v>15000</v>
      </c>
      <c r="J826" s="99"/>
      <c r="K826" s="99"/>
      <c r="L826" s="89">
        <f t="shared" si="24"/>
        <v>15000</v>
      </c>
      <c r="M826" s="87">
        <f t="shared" si="25"/>
        <v>15000</v>
      </c>
      <c r="N826" s="99"/>
      <c r="O826" s="99"/>
      <c r="P826" s="48">
        <v>41183</v>
      </c>
      <c r="Q826" s="48">
        <v>41548</v>
      </c>
      <c r="R826" s="49">
        <v>11393</v>
      </c>
    </row>
    <row r="827" spans="1:18" s="1" customFormat="1" ht="25.5" x14ac:dyDescent="0.2">
      <c r="A827" s="45" t="s">
        <v>2482</v>
      </c>
      <c r="B827" s="57">
        <v>24947</v>
      </c>
      <c r="C827" s="60" t="s">
        <v>35</v>
      </c>
      <c r="D827" s="60" t="s">
        <v>467</v>
      </c>
      <c r="E827" s="50" t="s">
        <v>2360</v>
      </c>
      <c r="F827" s="50" t="s">
        <v>26</v>
      </c>
      <c r="G827" s="60" t="s">
        <v>2483</v>
      </c>
      <c r="H827" s="99"/>
      <c r="I827" s="100">
        <v>15000</v>
      </c>
      <c r="J827" s="99"/>
      <c r="K827" s="99"/>
      <c r="L827" s="89">
        <f t="shared" si="24"/>
        <v>15000</v>
      </c>
      <c r="M827" s="87">
        <f t="shared" si="25"/>
        <v>15000</v>
      </c>
      <c r="N827" s="99"/>
      <c r="O827" s="99"/>
      <c r="P827" s="48">
        <v>41183</v>
      </c>
      <c r="Q827" s="48">
        <v>41548</v>
      </c>
      <c r="R827" s="49">
        <v>11391</v>
      </c>
    </row>
    <row r="828" spans="1:18" s="1" customFormat="1" ht="76.5" x14ac:dyDescent="0.2">
      <c r="A828" s="45" t="s">
        <v>2484</v>
      </c>
      <c r="B828" s="57">
        <v>25316</v>
      </c>
      <c r="C828" s="60" t="s">
        <v>35</v>
      </c>
      <c r="D828" s="60" t="s">
        <v>996</v>
      </c>
      <c r="E828" s="50" t="s">
        <v>2360</v>
      </c>
      <c r="F828" s="50" t="s">
        <v>167</v>
      </c>
      <c r="G828" s="60" t="s">
        <v>2485</v>
      </c>
      <c r="H828" s="99"/>
      <c r="I828" s="100">
        <v>15000</v>
      </c>
      <c r="J828" s="99"/>
      <c r="K828" s="99"/>
      <c r="L828" s="89">
        <f t="shared" si="24"/>
        <v>15000</v>
      </c>
      <c r="M828" s="87">
        <f t="shared" si="25"/>
        <v>15000</v>
      </c>
      <c r="N828" s="99"/>
      <c r="O828" s="99"/>
      <c r="P828" s="48">
        <v>41183</v>
      </c>
      <c r="Q828" s="48">
        <v>41548</v>
      </c>
      <c r="R828" s="49">
        <v>11390</v>
      </c>
    </row>
    <row r="829" spans="1:18" s="1" customFormat="1" ht="51" x14ac:dyDescent="0.2">
      <c r="A829" s="45" t="s">
        <v>2486</v>
      </c>
      <c r="B829" s="57">
        <v>25362</v>
      </c>
      <c r="C829" s="60" t="s">
        <v>35</v>
      </c>
      <c r="D829" s="60" t="s">
        <v>2487</v>
      </c>
      <c r="E829" s="50" t="s">
        <v>2360</v>
      </c>
      <c r="F829" s="50" t="s">
        <v>167</v>
      </c>
      <c r="G829" s="60" t="s">
        <v>2488</v>
      </c>
      <c r="H829" s="99"/>
      <c r="I829" s="100">
        <v>15000</v>
      </c>
      <c r="J829" s="99"/>
      <c r="K829" s="99"/>
      <c r="L829" s="89">
        <f t="shared" si="24"/>
        <v>15000</v>
      </c>
      <c r="M829" s="87">
        <f t="shared" si="25"/>
        <v>15000</v>
      </c>
      <c r="N829" s="99"/>
      <c r="O829" s="99"/>
      <c r="P829" s="48">
        <v>41183</v>
      </c>
      <c r="Q829" s="48">
        <v>41548</v>
      </c>
      <c r="R829" s="49">
        <v>11388</v>
      </c>
    </row>
    <row r="830" spans="1:18" s="1" customFormat="1" ht="38.25" x14ac:dyDescent="0.2">
      <c r="A830" s="45" t="s">
        <v>2489</v>
      </c>
      <c r="B830" s="57">
        <v>24003</v>
      </c>
      <c r="C830" s="60" t="s">
        <v>35</v>
      </c>
      <c r="D830" s="60" t="s">
        <v>2490</v>
      </c>
      <c r="E830" s="50" t="s">
        <v>2360</v>
      </c>
      <c r="F830" s="50" t="s">
        <v>94</v>
      </c>
      <c r="G830" s="60" t="s">
        <v>2491</v>
      </c>
      <c r="H830" s="99"/>
      <c r="I830" s="100">
        <v>15000</v>
      </c>
      <c r="J830" s="99"/>
      <c r="K830" s="99"/>
      <c r="L830" s="89">
        <f t="shared" si="24"/>
        <v>15000</v>
      </c>
      <c r="M830" s="87">
        <f t="shared" si="25"/>
        <v>15000</v>
      </c>
      <c r="N830" s="99"/>
      <c r="O830" s="99"/>
      <c r="P830" s="48">
        <v>41183</v>
      </c>
      <c r="Q830" s="48">
        <v>41548</v>
      </c>
      <c r="R830" s="49">
        <v>11731</v>
      </c>
    </row>
    <row r="831" spans="1:18" s="1" customFormat="1" ht="38.25" x14ac:dyDescent="0.2">
      <c r="A831" s="45" t="s">
        <v>2492</v>
      </c>
      <c r="B831" s="57">
        <v>24351</v>
      </c>
      <c r="C831" s="60" t="s">
        <v>35</v>
      </c>
      <c r="D831" s="60" t="s">
        <v>2493</v>
      </c>
      <c r="E831" s="50" t="s">
        <v>2360</v>
      </c>
      <c r="F831" s="50" t="s">
        <v>94</v>
      </c>
      <c r="G831" s="60" t="s">
        <v>2494</v>
      </c>
      <c r="H831" s="99"/>
      <c r="I831" s="100">
        <v>15000</v>
      </c>
      <c r="J831" s="99"/>
      <c r="K831" s="99"/>
      <c r="L831" s="89">
        <f t="shared" si="24"/>
        <v>15000</v>
      </c>
      <c r="M831" s="87">
        <f t="shared" si="25"/>
        <v>15000</v>
      </c>
      <c r="N831" s="99"/>
      <c r="O831" s="99"/>
      <c r="P831" s="48">
        <v>41183</v>
      </c>
      <c r="Q831" s="48">
        <v>41548</v>
      </c>
      <c r="R831" s="49">
        <v>11732</v>
      </c>
    </row>
    <row r="832" spans="1:18" s="1" customFormat="1" ht="38.25" x14ac:dyDescent="0.2">
      <c r="A832" s="45" t="s">
        <v>2495</v>
      </c>
      <c r="B832" s="57">
        <v>22685</v>
      </c>
      <c r="C832" s="60" t="s">
        <v>35</v>
      </c>
      <c r="D832" s="60" t="s">
        <v>2496</v>
      </c>
      <c r="E832" s="50" t="s">
        <v>2360</v>
      </c>
      <c r="F832" s="50" t="s">
        <v>94</v>
      </c>
      <c r="G832" s="60" t="s">
        <v>2497</v>
      </c>
      <c r="H832" s="99"/>
      <c r="I832" s="100">
        <v>15000</v>
      </c>
      <c r="J832" s="99"/>
      <c r="K832" s="99"/>
      <c r="L832" s="89">
        <f t="shared" si="24"/>
        <v>15000</v>
      </c>
      <c r="M832" s="87">
        <f t="shared" si="25"/>
        <v>15000</v>
      </c>
      <c r="N832" s="99"/>
      <c r="O832" s="99"/>
      <c r="P832" s="48">
        <v>41183</v>
      </c>
      <c r="Q832" s="48">
        <v>41548</v>
      </c>
      <c r="R832" s="49">
        <v>11734</v>
      </c>
    </row>
    <row r="833" spans="1:18" s="1" customFormat="1" ht="51" x14ac:dyDescent="0.2">
      <c r="A833" s="45" t="s">
        <v>2498</v>
      </c>
      <c r="B833" s="57">
        <v>24486</v>
      </c>
      <c r="C833" s="60" t="s">
        <v>35</v>
      </c>
      <c r="D833" s="60" t="s">
        <v>2499</v>
      </c>
      <c r="E833" s="50" t="s">
        <v>2360</v>
      </c>
      <c r="F833" s="50" t="s">
        <v>94</v>
      </c>
      <c r="G833" s="60" t="s">
        <v>2500</v>
      </c>
      <c r="H833" s="99"/>
      <c r="I833" s="100">
        <v>15000</v>
      </c>
      <c r="J833" s="99"/>
      <c r="K833" s="99"/>
      <c r="L833" s="89">
        <f t="shared" si="24"/>
        <v>15000</v>
      </c>
      <c r="M833" s="87">
        <f t="shared" si="25"/>
        <v>15000</v>
      </c>
      <c r="N833" s="99"/>
      <c r="O833" s="99"/>
      <c r="P833" s="48">
        <v>41183</v>
      </c>
      <c r="Q833" s="48">
        <v>41548</v>
      </c>
      <c r="R833" s="49">
        <v>11666</v>
      </c>
    </row>
    <row r="834" spans="1:18" s="1" customFormat="1" ht="76.5" x14ac:dyDescent="0.2">
      <c r="A834" s="45" t="s">
        <v>2501</v>
      </c>
      <c r="B834" s="57">
        <v>24963</v>
      </c>
      <c r="C834" s="60" t="s">
        <v>35</v>
      </c>
      <c r="D834" s="60" t="s">
        <v>949</v>
      </c>
      <c r="E834" s="50" t="s">
        <v>2360</v>
      </c>
      <c r="F834" s="50" t="s">
        <v>94</v>
      </c>
      <c r="G834" s="60" t="s">
        <v>2502</v>
      </c>
      <c r="H834" s="99"/>
      <c r="I834" s="100">
        <v>15000</v>
      </c>
      <c r="J834" s="99"/>
      <c r="K834" s="99"/>
      <c r="L834" s="89">
        <f t="shared" si="24"/>
        <v>15000</v>
      </c>
      <c r="M834" s="87">
        <f t="shared" si="25"/>
        <v>15000</v>
      </c>
      <c r="N834" s="99"/>
      <c r="O834" s="99"/>
      <c r="P834" s="48">
        <v>41183</v>
      </c>
      <c r="Q834" s="48">
        <v>41548</v>
      </c>
      <c r="R834" s="49">
        <v>11667</v>
      </c>
    </row>
    <row r="835" spans="1:18" s="1" customFormat="1" ht="51" x14ac:dyDescent="0.2">
      <c r="A835" s="45" t="s">
        <v>2503</v>
      </c>
      <c r="B835" s="57">
        <v>25145</v>
      </c>
      <c r="C835" s="60" t="s">
        <v>35</v>
      </c>
      <c r="D835" s="60" t="s">
        <v>2504</v>
      </c>
      <c r="E835" s="50" t="s">
        <v>2360</v>
      </c>
      <c r="F835" s="50" t="s">
        <v>94</v>
      </c>
      <c r="G835" s="60" t="s">
        <v>2505</v>
      </c>
      <c r="H835" s="99"/>
      <c r="I835" s="100">
        <v>15000</v>
      </c>
      <c r="J835" s="99"/>
      <c r="K835" s="99"/>
      <c r="L835" s="89">
        <f t="shared" si="24"/>
        <v>15000</v>
      </c>
      <c r="M835" s="87">
        <f t="shared" si="25"/>
        <v>15000</v>
      </c>
      <c r="N835" s="99"/>
      <c r="O835" s="99"/>
      <c r="P835" s="48">
        <v>41183</v>
      </c>
      <c r="Q835" s="48">
        <v>41548</v>
      </c>
      <c r="R835" s="49">
        <v>11668</v>
      </c>
    </row>
    <row r="836" spans="1:18" s="1" customFormat="1" ht="38.25" x14ac:dyDescent="0.2">
      <c r="A836" s="45" t="s">
        <v>2506</v>
      </c>
      <c r="B836" s="57">
        <v>25162</v>
      </c>
      <c r="C836" s="60" t="s">
        <v>35</v>
      </c>
      <c r="D836" s="60" t="s">
        <v>934</v>
      </c>
      <c r="E836" s="50" t="s">
        <v>2360</v>
      </c>
      <c r="F836" s="50" t="s">
        <v>94</v>
      </c>
      <c r="G836" s="60" t="s">
        <v>2507</v>
      </c>
      <c r="H836" s="99"/>
      <c r="I836" s="100">
        <v>15000</v>
      </c>
      <c r="J836" s="99"/>
      <c r="K836" s="99"/>
      <c r="L836" s="89">
        <f t="shared" si="24"/>
        <v>15000</v>
      </c>
      <c r="M836" s="87">
        <f t="shared" si="25"/>
        <v>15000</v>
      </c>
      <c r="N836" s="99"/>
      <c r="O836" s="99"/>
      <c r="P836" s="48">
        <v>41183</v>
      </c>
      <c r="Q836" s="48">
        <v>41548</v>
      </c>
      <c r="R836" s="49">
        <v>11670</v>
      </c>
    </row>
    <row r="837" spans="1:18" s="1" customFormat="1" ht="63.75" x14ac:dyDescent="0.2">
      <c r="A837" s="45" t="s">
        <v>2508</v>
      </c>
      <c r="B837" s="57">
        <v>25329</v>
      </c>
      <c r="C837" s="60" t="s">
        <v>35</v>
      </c>
      <c r="D837" s="60" t="s">
        <v>972</v>
      </c>
      <c r="E837" s="50" t="s">
        <v>2360</v>
      </c>
      <c r="F837" s="50" t="s">
        <v>94</v>
      </c>
      <c r="G837" s="60" t="s">
        <v>2509</v>
      </c>
      <c r="H837" s="99"/>
      <c r="I837" s="100">
        <v>15000</v>
      </c>
      <c r="J837" s="99"/>
      <c r="K837" s="99"/>
      <c r="L837" s="89">
        <f t="shared" si="24"/>
        <v>15000</v>
      </c>
      <c r="M837" s="87">
        <f t="shared" si="25"/>
        <v>15000</v>
      </c>
      <c r="N837" s="99"/>
      <c r="O837" s="99"/>
      <c r="P837" s="48">
        <v>41183</v>
      </c>
      <c r="Q837" s="48">
        <v>41548</v>
      </c>
      <c r="R837" s="49">
        <v>11677</v>
      </c>
    </row>
    <row r="838" spans="1:18" s="1" customFormat="1" ht="76.5" x14ac:dyDescent="0.2">
      <c r="A838" s="45" t="s">
        <v>2510</v>
      </c>
      <c r="B838" s="57">
        <v>25270</v>
      </c>
      <c r="C838" s="60" t="s">
        <v>35</v>
      </c>
      <c r="D838" s="60" t="s">
        <v>2511</v>
      </c>
      <c r="E838" s="50" t="s">
        <v>2360</v>
      </c>
      <c r="F838" s="50" t="s">
        <v>94</v>
      </c>
      <c r="G838" s="60" t="s">
        <v>2512</v>
      </c>
      <c r="H838" s="99"/>
      <c r="I838" s="100">
        <v>15000</v>
      </c>
      <c r="J838" s="99"/>
      <c r="K838" s="99"/>
      <c r="L838" s="89">
        <f t="shared" si="24"/>
        <v>15000</v>
      </c>
      <c r="M838" s="87">
        <f t="shared" si="25"/>
        <v>15000</v>
      </c>
      <c r="N838" s="99"/>
      <c r="O838" s="99"/>
      <c r="P838" s="48">
        <v>41183</v>
      </c>
      <c r="Q838" s="48">
        <v>41548</v>
      </c>
      <c r="R838" s="49">
        <v>11739</v>
      </c>
    </row>
    <row r="839" spans="1:18" s="1" customFormat="1" ht="63.75" x14ac:dyDescent="0.2">
      <c r="A839" s="45" t="s">
        <v>2513</v>
      </c>
      <c r="B839" s="57">
        <v>24862</v>
      </c>
      <c r="C839" s="60" t="s">
        <v>35</v>
      </c>
      <c r="D839" s="60" t="s">
        <v>2514</v>
      </c>
      <c r="E839" s="50" t="s">
        <v>2360</v>
      </c>
      <c r="F839" s="50" t="s">
        <v>167</v>
      </c>
      <c r="G839" s="60" t="s">
        <v>2515</v>
      </c>
      <c r="H839" s="99"/>
      <c r="I839" s="100">
        <v>15000</v>
      </c>
      <c r="J839" s="99"/>
      <c r="K839" s="99"/>
      <c r="L839" s="89">
        <f t="shared" ref="L839:L902" si="26">H839+I839+J839+K839</f>
        <v>15000</v>
      </c>
      <c r="M839" s="87">
        <f t="shared" ref="M839:M902" si="27">SUM(L839)</f>
        <v>15000</v>
      </c>
      <c r="N839" s="99"/>
      <c r="O839" s="99"/>
      <c r="P839" s="48">
        <v>41183</v>
      </c>
      <c r="Q839" s="48">
        <v>41548</v>
      </c>
      <c r="R839" s="49">
        <v>11386</v>
      </c>
    </row>
    <row r="840" spans="1:18" s="1" customFormat="1" ht="25.5" x14ac:dyDescent="0.2">
      <c r="A840" s="45" t="s">
        <v>2516</v>
      </c>
      <c r="B840" s="57">
        <v>24856</v>
      </c>
      <c r="C840" s="60" t="s">
        <v>35</v>
      </c>
      <c r="D840" s="60" t="s">
        <v>2517</v>
      </c>
      <c r="E840" s="50" t="s">
        <v>2360</v>
      </c>
      <c r="F840" s="50" t="s">
        <v>98</v>
      </c>
      <c r="G840" s="60" t="s">
        <v>2518</v>
      </c>
      <c r="H840" s="99"/>
      <c r="I840" s="100">
        <v>15000</v>
      </c>
      <c r="J840" s="99"/>
      <c r="K840" s="99"/>
      <c r="L840" s="89">
        <f t="shared" si="26"/>
        <v>15000</v>
      </c>
      <c r="M840" s="87">
        <f t="shared" si="27"/>
        <v>15000</v>
      </c>
      <c r="N840" s="99"/>
      <c r="O840" s="99"/>
      <c r="P840" s="48">
        <v>41183</v>
      </c>
      <c r="Q840" s="48">
        <v>41548</v>
      </c>
      <c r="R840" s="49">
        <v>11735</v>
      </c>
    </row>
    <row r="841" spans="1:18" s="1" customFormat="1" ht="102" x14ac:dyDescent="0.2">
      <c r="A841" s="45" t="s">
        <v>2519</v>
      </c>
      <c r="B841" s="57">
        <v>24948</v>
      </c>
      <c r="C841" s="60" t="s">
        <v>35</v>
      </c>
      <c r="D841" s="60" t="s">
        <v>2520</v>
      </c>
      <c r="E841" s="50" t="s">
        <v>2360</v>
      </c>
      <c r="F841" s="50" t="s">
        <v>167</v>
      </c>
      <c r="G841" s="60" t="s">
        <v>2521</v>
      </c>
      <c r="H841" s="99"/>
      <c r="I841" s="100">
        <v>15000</v>
      </c>
      <c r="J841" s="99"/>
      <c r="K841" s="99"/>
      <c r="L841" s="89">
        <f t="shared" si="26"/>
        <v>15000</v>
      </c>
      <c r="M841" s="87">
        <f t="shared" si="27"/>
        <v>15000</v>
      </c>
      <c r="N841" s="99"/>
      <c r="O841" s="99"/>
      <c r="P841" s="48">
        <v>41183</v>
      </c>
      <c r="Q841" s="48">
        <v>41548</v>
      </c>
      <c r="R841" s="49">
        <v>11735</v>
      </c>
    </row>
    <row r="842" spans="1:18" s="1" customFormat="1" ht="51" x14ac:dyDescent="0.2">
      <c r="A842" s="45" t="s">
        <v>2522</v>
      </c>
      <c r="B842" s="57">
        <v>25222</v>
      </c>
      <c r="C842" s="60" t="s">
        <v>35</v>
      </c>
      <c r="D842" s="60" t="s">
        <v>2523</v>
      </c>
      <c r="E842" s="50" t="s">
        <v>2360</v>
      </c>
      <c r="F842" s="50" t="s">
        <v>121</v>
      </c>
      <c r="G842" s="60" t="s">
        <v>2524</v>
      </c>
      <c r="H842" s="99"/>
      <c r="I842" s="100">
        <v>15000</v>
      </c>
      <c r="J842" s="99"/>
      <c r="K842" s="99"/>
      <c r="L842" s="89">
        <f t="shared" si="26"/>
        <v>15000</v>
      </c>
      <c r="M842" s="87">
        <f t="shared" si="27"/>
        <v>15000</v>
      </c>
      <c r="N842" s="99"/>
      <c r="O842" s="99"/>
      <c r="P842" s="48">
        <v>41183</v>
      </c>
      <c r="Q842" s="48">
        <v>41548</v>
      </c>
      <c r="R842" s="49">
        <v>11674</v>
      </c>
    </row>
    <row r="843" spans="1:18" s="1" customFormat="1" ht="51" x14ac:dyDescent="0.2">
      <c r="A843" s="45" t="s">
        <v>2525</v>
      </c>
      <c r="B843" s="57">
        <v>25064</v>
      </c>
      <c r="C843" s="60" t="s">
        <v>35</v>
      </c>
      <c r="D843" s="60" t="s">
        <v>2526</v>
      </c>
      <c r="E843" s="50" t="s">
        <v>2360</v>
      </c>
      <c r="F843" s="50" t="s">
        <v>167</v>
      </c>
      <c r="G843" s="60" t="s">
        <v>2527</v>
      </c>
      <c r="H843" s="99"/>
      <c r="I843" s="100">
        <v>15000</v>
      </c>
      <c r="J843" s="99"/>
      <c r="K843" s="99"/>
      <c r="L843" s="89">
        <f t="shared" si="26"/>
        <v>15000</v>
      </c>
      <c r="M843" s="87">
        <f t="shared" si="27"/>
        <v>15000</v>
      </c>
      <c r="N843" s="99"/>
      <c r="O843" s="99"/>
      <c r="P843" s="48">
        <v>41183</v>
      </c>
      <c r="Q843" s="48">
        <v>41548</v>
      </c>
      <c r="R843" s="49">
        <v>11665</v>
      </c>
    </row>
    <row r="844" spans="1:18" s="1" customFormat="1" ht="38.25" x14ac:dyDescent="0.2">
      <c r="A844" s="45" t="s">
        <v>2528</v>
      </c>
      <c r="B844" s="57">
        <v>15804</v>
      </c>
      <c r="C844" s="50" t="s">
        <v>238</v>
      </c>
      <c r="D844" s="60" t="s">
        <v>2529</v>
      </c>
      <c r="E844" s="50" t="s">
        <v>2360</v>
      </c>
      <c r="F844" s="50" t="s">
        <v>22</v>
      </c>
      <c r="G844" s="60" t="s">
        <v>2530</v>
      </c>
      <c r="H844" s="99"/>
      <c r="I844" s="100">
        <v>15000</v>
      </c>
      <c r="J844" s="99"/>
      <c r="K844" s="99"/>
      <c r="L844" s="89">
        <f t="shared" si="26"/>
        <v>15000</v>
      </c>
      <c r="M844" s="87">
        <f t="shared" si="27"/>
        <v>15000</v>
      </c>
      <c r="N844" s="99"/>
      <c r="O844" s="99"/>
      <c r="P844" s="48">
        <v>41183</v>
      </c>
      <c r="Q844" s="68">
        <v>41548</v>
      </c>
      <c r="R844" s="49">
        <v>12062</v>
      </c>
    </row>
    <row r="845" spans="1:18" s="1" customFormat="1" ht="38.25" x14ac:dyDescent="0.2">
      <c r="A845" s="45" t="s">
        <v>2531</v>
      </c>
      <c r="B845" s="57">
        <v>25350</v>
      </c>
      <c r="C845" s="50" t="s">
        <v>238</v>
      </c>
      <c r="D845" s="60" t="s">
        <v>2532</v>
      </c>
      <c r="E845" s="50" t="s">
        <v>2360</v>
      </c>
      <c r="F845" s="50" t="s">
        <v>26</v>
      </c>
      <c r="G845" s="60" t="s">
        <v>2533</v>
      </c>
      <c r="H845" s="99"/>
      <c r="I845" s="100">
        <v>15000</v>
      </c>
      <c r="J845" s="99"/>
      <c r="K845" s="99"/>
      <c r="L845" s="89">
        <f t="shared" si="26"/>
        <v>15000</v>
      </c>
      <c r="M845" s="87">
        <f t="shared" si="27"/>
        <v>15000</v>
      </c>
      <c r="N845" s="99"/>
      <c r="O845" s="99"/>
      <c r="P845" s="48">
        <v>41183</v>
      </c>
      <c r="Q845" s="48">
        <v>41548</v>
      </c>
      <c r="R845" s="49">
        <v>11322</v>
      </c>
    </row>
    <row r="846" spans="1:18" s="1" customFormat="1" ht="76.5" x14ac:dyDescent="0.2">
      <c r="A846" s="45" t="s">
        <v>2534</v>
      </c>
      <c r="B846" s="57">
        <v>4037</v>
      </c>
      <c r="C846" s="50" t="s">
        <v>238</v>
      </c>
      <c r="D846" s="60" t="s">
        <v>2535</v>
      </c>
      <c r="E846" s="50" t="s">
        <v>2360</v>
      </c>
      <c r="F846" s="50" t="s">
        <v>26</v>
      </c>
      <c r="G846" s="60" t="s">
        <v>2536</v>
      </c>
      <c r="H846" s="99"/>
      <c r="I846" s="100">
        <v>12000</v>
      </c>
      <c r="J846" s="99"/>
      <c r="K846" s="99"/>
      <c r="L846" s="89">
        <f t="shared" si="26"/>
        <v>12000</v>
      </c>
      <c r="M846" s="87">
        <f t="shared" si="27"/>
        <v>12000</v>
      </c>
      <c r="N846" s="99"/>
      <c r="O846" s="99"/>
      <c r="P846" s="48">
        <v>41172</v>
      </c>
      <c r="Q846" s="68">
        <v>41537</v>
      </c>
      <c r="R846" s="49">
        <v>11246</v>
      </c>
    </row>
    <row r="847" spans="1:18" s="1" customFormat="1" ht="63.75" x14ac:dyDescent="0.2">
      <c r="A847" s="45" t="s">
        <v>2537</v>
      </c>
      <c r="B847" s="57">
        <v>24302</v>
      </c>
      <c r="C847" s="50" t="s">
        <v>238</v>
      </c>
      <c r="D847" s="60" t="s">
        <v>2538</v>
      </c>
      <c r="E847" s="50" t="s">
        <v>2360</v>
      </c>
      <c r="F847" s="50" t="s">
        <v>87</v>
      </c>
      <c r="G847" s="60" t="s">
        <v>2539</v>
      </c>
      <c r="H847" s="99"/>
      <c r="I847" s="100">
        <v>15000</v>
      </c>
      <c r="J847" s="99"/>
      <c r="K847" s="99"/>
      <c r="L847" s="89">
        <f t="shared" si="26"/>
        <v>15000</v>
      </c>
      <c r="M847" s="87">
        <f t="shared" si="27"/>
        <v>15000</v>
      </c>
      <c r="N847" s="99"/>
      <c r="O847" s="99"/>
      <c r="P847" s="48">
        <v>41183</v>
      </c>
      <c r="Q847" s="48">
        <v>41548</v>
      </c>
      <c r="R847" s="49">
        <v>11331</v>
      </c>
    </row>
    <row r="848" spans="1:18" s="1" customFormat="1" ht="63.75" x14ac:dyDescent="0.2">
      <c r="A848" s="45" t="s">
        <v>2540</v>
      </c>
      <c r="B848" s="57">
        <v>24841</v>
      </c>
      <c r="C848" s="50" t="s">
        <v>238</v>
      </c>
      <c r="D848" s="60" t="s">
        <v>2541</v>
      </c>
      <c r="E848" s="50" t="s">
        <v>2360</v>
      </c>
      <c r="F848" s="50" t="s">
        <v>87</v>
      </c>
      <c r="G848" s="60" t="s">
        <v>2542</v>
      </c>
      <c r="H848" s="99"/>
      <c r="I848" s="100">
        <v>15000</v>
      </c>
      <c r="J848" s="99"/>
      <c r="K848" s="99"/>
      <c r="L848" s="89">
        <f t="shared" si="26"/>
        <v>15000</v>
      </c>
      <c r="M848" s="87">
        <f t="shared" si="27"/>
        <v>15000</v>
      </c>
      <c r="N848" s="99"/>
      <c r="O848" s="99"/>
      <c r="P848" s="48">
        <v>41172</v>
      </c>
      <c r="Q848" s="48">
        <v>41537</v>
      </c>
      <c r="R848" s="49">
        <v>11247</v>
      </c>
    </row>
    <row r="849" spans="1:18" s="1" customFormat="1" ht="51" x14ac:dyDescent="0.2">
      <c r="A849" s="45" t="s">
        <v>2543</v>
      </c>
      <c r="B849" s="57">
        <v>21143</v>
      </c>
      <c r="C849" s="50" t="s">
        <v>238</v>
      </c>
      <c r="D849" s="60" t="s">
        <v>2544</v>
      </c>
      <c r="E849" s="50" t="s">
        <v>2360</v>
      </c>
      <c r="F849" s="50" t="s">
        <v>98</v>
      </c>
      <c r="G849" s="60" t="s">
        <v>2545</v>
      </c>
      <c r="H849" s="99"/>
      <c r="I849" s="100">
        <v>15000</v>
      </c>
      <c r="J849" s="99"/>
      <c r="K849" s="99"/>
      <c r="L849" s="89">
        <f t="shared" si="26"/>
        <v>15000</v>
      </c>
      <c r="M849" s="87">
        <f t="shared" si="27"/>
        <v>15000</v>
      </c>
      <c r="N849" s="99"/>
      <c r="O849" s="99"/>
      <c r="P849" s="48">
        <v>41172</v>
      </c>
      <c r="Q849" s="48">
        <v>41537</v>
      </c>
      <c r="R849" s="49">
        <v>11249</v>
      </c>
    </row>
    <row r="850" spans="1:18" s="1" customFormat="1" ht="25.5" x14ac:dyDescent="0.2">
      <c r="A850" s="45" t="s">
        <v>2546</v>
      </c>
      <c r="B850" s="57">
        <v>21752</v>
      </c>
      <c r="C850" s="50" t="s">
        <v>238</v>
      </c>
      <c r="D850" s="60" t="s">
        <v>2547</v>
      </c>
      <c r="E850" s="50" t="s">
        <v>2360</v>
      </c>
      <c r="F850" s="50" t="s">
        <v>98</v>
      </c>
      <c r="G850" s="60" t="s">
        <v>2548</v>
      </c>
      <c r="H850" s="99"/>
      <c r="I850" s="100">
        <v>15000</v>
      </c>
      <c r="J850" s="99"/>
      <c r="K850" s="99"/>
      <c r="L850" s="89">
        <f t="shared" si="26"/>
        <v>15000</v>
      </c>
      <c r="M850" s="87">
        <f t="shared" si="27"/>
        <v>15000</v>
      </c>
      <c r="N850" s="99"/>
      <c r="O850" s="99"/>
      <c r="P850" s="48">
        <v>41183</v>
      </c>
      <c r="Q850" s="48">
        <v>41548</v>
      </c>
      <c r="R850" s="49">
        <v>11689</v>
      </c>
    </row>
    <row r="851" spans="1:18" s="1" customFormat="1" ht="51" x14ac:dyDescent="0.2">
      <c r="A851" s="45" t="s">
        <v>2549</v>
      </c>
      <c r="B851" s="57">
        <v>18392</v>
      </c>
      <c r="C851" s="50" t="s">
        <v>238</v>
      </c>
      <c r="D851" s="60" t="s">
        <v>2550</v>
      </c>
      <c r="E851" s="50" t="s">
        <v>2360</v>
      </c>
      <c r="F851" s="50" t="s">
        <v>98</v>
      </c>
      <c r="G851" s="60" t="s">
        <v>2551</v>
      </c>
      <c r="H851" s="99"/>
      <c r="I851" s="100">
        <v>15000</v>
      </c>
      <c r="J851" s="99"/>
      <c r="K851" s="99"/>
      <c r="L851" s="89">
        <f t="shared" si="26"/>
        <v>15000</v>
      </c>
      <c r="M851" s="87">
        <f t="shared" si="27"/>
        <v>15000</v>
      </c>
      <c r="N851" s="99"/>
      <c r="O851" s="99"/>
      <c r="P851" s="48">
        <v>41172</v>
      </c>
      <c r="Q851" s="68">
        <v>41537</v>
      </c>
      <c r="R851" s="49">
        <v>11250</v>
      </c>
    </row>
    <row r="852" spans="1:18" s="1" customFormat="1" ht="76.5" x14ac:dyDescent="0.2">
      <c r="A852" s="45" t="s">
        <v>2552</v>
      </c>
      <c r="B852" s="57">
        <v>16094</v>
      </c>
      <c r="C852" s="50" t="s">
        <v>238</v>
      </c>
      <c r="D852" s="60" t="s">
        <v>2553</v>
      </c>
      <c r="E852" s="50" t="s">
        <v>2360</v>
      </c>
      <c r="F852" s="50" t="s">
        <v>98</v>
      </c>
      <c r="G852" s="60" t="s">
        <v>2554</v>
      </c>
      <c r="H852" s="99"/>
      <c r="I852" s="100">
        <v>15000</v>
      </c>
      <c r="J852" s="99"/>
      <c r="K852" s="99"/>
      <c r="L852" s="89">
        <f t="shared" si="26"/>
        <v>15000</v>
      </c>
      <c r="M852" s="87">
        <f t="shared" si="27"/>
        <v>15000</v>
      </c>
      <c r="N852" s="99"/>
      <c r="O852" s="99"/>
      <c r="P852" s="48">
        <v>41183</v>
      </c>
      <c r="Q852" s="68">
        <v>41548</v>
      </c>
      <c r="R852" s="49">
        <v>11320</v>
      </c>
    </row>
    <row r="853" spans="1:18" s="1" customFormat="1" ht="25.5" x14ac:dyDescent="0.2">
      <c r="A853" s="45" t="s">
        <v>2555</v>
      </c>
      <c r="B853" s="57">
        <v>24789</v>
      </c>
      <c r="C853" s="50" t="s">
        <v>238</v>
      </c>
      <c r="D853" s="60" t="s">
        <v>2556</v>
      </c>
      <c r="E853" s="50" t="s">
        <v>2360</v>
      </c>
      <c r="F853" s="50" t="s">
        <v>94</v>
      </c>
      <c r="G853" s="60" t="s">
        <v>2557</v>
      </c>
      <c r="H853" s="99"/>
      <c r="I853" s="100">
        <v>15000</v>
      </c>
      <c r="J853" s="99"/>
      <c r="K853" s="99"/>
      <c r="L853" s="89">
        <f t="shared" si="26"/>
        <v>15000</v>
      </c>
      <c r="M853" s="87">
        <f t="shared" si="27"/>
        <v>15000</v>
      </c>
      <c r="N853" s="99"/>
      <c r="O853" s="99"/>
      <c r="P853" s="48">
        <v>41172</v>
      </c>
      <c r="Q853" s="48">
        <v>41537</v>
      </c>
      <c r="R853" s="49">
        <v>11236</v>
      </c>
    </row>
    <row r="854" spans="1:18" s="1" customFormat="1" ht="51" x14ac:dyDescent="0.2">
      <c r="A854" s="45" t="s">
        <v>2558</v>
      </c>
      <c r="B854" s="57">
        <v>22258</v>
      </c>
      <c r="C854" s="50" t="s">
        <v>238</v>
      </c>
      <c r="D854" s="60" t="s">
        <v>649</v>
      </c>
      <c r="E854" s="50" t="s">
        <v>2360</v>
      </c>
      <c r="F854" s="50" t="s">
        <v>240</v>
      </c>
      <c r="G854" s="60" t="s">
        <v>2559</v>
      </c>
      <c r="H854" s="99"/>
      <c r="I854" s="100">
        <v>15000</v>
      </c>
      <c r="J854" s="99"/>
      <c r="K854" s="99"/>
      <c r="L854" s="89">
        <f t="shared" si="26"/>
        <v>15000</v>
      </c>
      <c r="M854" s="87">
        <f t="shared" si="27"/>
        <v>15000</v>
      </c>
      <c r="N854" s="99"/>
      <c r="O854" s="99"/>
      <c r="P854" s="48">
        <v>41172</v>
      </c>
      <c r="Q854" s="48">
        <v>41537</v>
      </c>
      <c r="R854" s="49">
        <v>11238</v>
      </c>
    </row>
    <row r="855" spans="1:18" s="1" customFormat="1" ht="38.25" x14ac:dyDescent="0.2">
      <c r="A855" s="45" t="s">
        <v>2560</v>
      </c>
      <c r="B855" s="45">
        <v>14098</v>
      </c>
      <c r="C855" s="50" t="s">
        <v>263</v>
      </c>
      <c r="D855" s="50" t="s">
        <v>2561</v>
      </c>
      <c r="E855" s="80" t="s">
        <v>21</v>
      </c>
      <c r="F855" s="50" t="s">
        <v>26</v>
      </c>
      <c r="G855" s="50" t="s">
        <v>2562</v>
      </c>
      <c r="H855" s="88">
        <v>1540</v>
      </c>
      <c r="I855" s="88"/>
      <c r="J855" s="89"/>
      <c r="K855" s="89"/>
      <c r="L855" s="89">
        <f t="shared" si="26"/>
        <v>1540</v>
      </c>
      <c r="M855" s="87">
        <f t="shared" si="27"/>
        <v>1540</v>
      </c>
      <c r="N855" s="99"/>
      <c r="O855" s="99"/>
      <c r="P855" s="48">
        <v>41180</v>
      </c>
      <c r="Q855" s="48">
        <v>41302</v>
      </c>
      <c r="R855" s="49">
        <v>11354</v>
      </c>
    </row>
    <row r="856" spans="1:18" s="1" customFormat="1" ht="63.75" x14ac:dyDescent="0.2">
      <c r="A856" s="45" t="s">
        <v>2563</v>
      </c>
      <c r="B856" s="57">
        <v>24799</v>
      </c>
      <c r="C856" s="60" t="s">
        <v>66</v>
      </c>
      <c r="D856" s="60" t="s">
        <v>2564</v>
      </c>
      <c r="E856" s="50" t="s">
        <v>2360</v>
      </c>
      <c r="F856" s="50" t="s">
        <v>94</v>
      </c>
      <c r="G856" s="60" t="s">
        <v>2565</v>
      </c>
      <c r="H856" s="99"/>
      <c r="I856" s="100">
        <v>12000</v>
      </c>
      <c r="J856" s="99"/>
      <c r="K856" s="99"/>
      <c r="L856" s="89">
        <f t="shared" si="26"/>
        <v>12000</v>
      </c>
      <c r="M856" s="87">
        <f t="shared" si="27"/>
        <v>12000</v>
      </c>
      <c r="N856" s="99"/>
      <c r="O856" s="99"/>
      <c r="P856" s="48">
        <v>41214</v>
      </c>
      <c r="Q856" s="48">
        <v>41579</v>
      </c>
      <c r="R856" s="49">
        <v>11943</v>
      </c>
    </row>
    <row r="857" spans="1:18" s="1" customFormat="1" ht="38.25" x14ac:dyDescent="0.2">
      <c r="A857" s="45" t="s">
        <v>2566</v>
      </c>
      <c r="B857" s="57">
        <v>24627</v>
      </c>
      <c r="C857" s="60" t="s">
        <v>66</v>
      </c>
      <c r="D857" s="60" t="s">
        <v>1518</v>
      </c>
      <c r="E857" s="50" t="s">
        <v>2360</v>
      </c>
      <c r="F857" s="50" t="s">
        <v>94</v>
      </c>
      <c r="G857" s="60" t="s">
        <v>2567</v>
      </c>
      <c r="H857" s="99"/>
      <c r="I857" s="100">
        <v>15000</v>
      </c>
      <c r="J857" s="99"/>
      <c r="K857" s="99"/>
      <c r="L857" s="89">
        <f t="shared" si="26"/>
        <v>15000</v>
      </c>
      <c r="M857" s="87">
        <f t="shared" si="27"/>
        <v>15000</v>
      </c>
      <c r="N857" s="99"/>
      <c r="O857" s="99"/>
      <c r="P857" s="48">
        <v>41214</v>
      </c>
      <c r="Q857" s="48">
        <v>42156</v>
      </c>
      <c r="R857" s="49">
        <v>11850</v>
      </c>
    </row>
    <row r="858" spans="1:18" s="1" customFormat="1" ht="38.25" x14ac:dyDescent="0.2">
      <c r="A858" s="45" t="s">
        <v>2568</v>
      </c>
      <c r="B858" s="57">
        <v>24926</v>
      </c>
      <c r="C858" s="60" t="s">
        <v>66</v>
      </c>
      <c r="D858" s="60" t="s">
        <v>631</v>
      </c>
      <c r="E858" s="50" t="s">
        <v>2360</v>
      </c>
      <c r="F858" s="50" t="s">
        <v>98</v>
      </c>
      <c r="G858" s="60" t="s">
        <v>2569</v>
      </c>
      <c r="H858" s="99"/>
      <c r="I858" s="100">
        <v>15000</v>
      </c>
      <c r="J858" s="99"/>
      <c r="K858" s="99"/>
      <c r="L858" s="89">
        <f t="shared" si="26"/>
        <v>15000</v>
      </c>
      <c r="M858" s="87">
        <f t="shared" si="27"/>
        <v>15000</v>
      </c>
      <c r="N858" s="99"/>
      <c r="O858" s="99"/>
      <c r="P858" s="48">
        <v>41214</v>
      </c>
      <c r="Q858" s="48">
        <v>41579</v>
      </c>
      <c r="R858" s="49">
        <v>11861</v>
      </c>
    </row>
    <row r="859" spans="1:18" s="1" customFormat="1" ht="51" x14ac:dyDescent="0.2">
      <c r="A859" s="45" t="s">
        <v>2570</v>
      </c>
      <c r="B859" s="57">
        <v>25144</v>
      </c>
      <c r="C859" s="60" t="s">
        <v>66</v>
      </c>
      <c r="D859" s="60" t="s">
        <v>2571</v>
      </c>
      <c r="E859" s="50" t="s">
        <v>2360</v>
      </c>
      <c r="F859" s="50" t="s">
        <v>98</v>
      </c>
      <c r="G859" s="60" t="s">
        <v>2572</v>
      </c>
      <c r="H859" s="99"/>
      <c r="I859" s="100">
        <v>12000</v>
      </c>
      <c r="J859" s="99"/>
      <c r="K859" s="99"/>
      <c r="L859" s="89">
        <f t="shared" si="26"/>
        <v>12000</v>
      </c>
      <c r="M859" s="87">
        <f t="shared" si="27"/>
        <v>12000</v>
      </c>
      <c r="N859" s="99"/>
      <c r="O859" s="99"/>
      <c r="P859" s="48">
        <v>41214</v>
      </c>
      <c r="Q859" s="48">
        <v>41579</v>
      </c>
      <c r="R859" s="49">
        <v>11937</v>
      </c>
    </row>
    <row r="860" spans="1:18" s="1" customFormat="1" ht="89.25" x14ac:dyDescent="0.2">
      <c r="A860" s="45" t="s">
        <v>2573</v>
      </c>
      <c r="B860" s="57">
        <v>19054</v>
      </c>
      <c r="C860" s="60" t="s">
        <v>66</v>
      </c>
      <c r="D860" s="60" t="s">
        <v>2574</v>
      </c>
      <c r="E860" s="50" t="s">
        <v>2360</v>
      </c>
      <c r="F860" s="50" t="s">
        <v>26</v>
      </c>
      <c r="G860" s="60" t="s">
        <v>2575</v>
      </c>
      <c r="H860" s="99"/>
      <c r="I860" s="100">
        <v>15000</v>
      </c>
      <c r="J860" s="99"/>
      <c r="K860" s="99"/>
      <c r="L860" s="89">
        <f t="shared" si="26"/>
        <v>15000</v>
      </c>
      <c r="M860" s="87">
        <f t="shared" si="27"/>
        <v>15000</v>
      </c>
      <c r="N860" s="99"/>
      <c r="O860" s="99"/>
      <c r="P860" s="48">
        <v>41214</v>
      </c>
      <c r="Q860" s="48">
        <v>41579</v>
      </c>
      <c r="R860" s="49">
        <v>11848</v>
      </c>
    </row>
    <row r="861" spans="1:18" s="1" customFormat="1" ht="76.5" x14ac:dyDescent="0.2">
      <c r="A861" s="45" t="s">
        <v>2576</v>
      </c>
      <c r="B861" s="57">
        <v>24992</v>
      </c>
      <c r="C861" s="60" t="s">
        <v>66</v>
      </c>
      <c r="D861" s="60" t="s">
        <v>2577</v>
      </c>
      <c r="E861" s="50" t="s">
        <v>2360</v>
      </c>
      <c r="F861" s="50" t="s">
        <v>87</v>
      </c>
      <c r="G861" s="60" t="s">
        <v>2578</v>
      </c>
      <c r="H861" s="99"/>
      <c r="I861" s="100">
        <v>15000</v>
      </c>
      <c r="J861" s="99"/>
      <c r="K861" s="99"/>
      <c r="L861" s="89">
        <f t="shared" si="26"/>
        <v>15000</v>
      </c>
      <c r="M861" s="87">
        <f t="shared" si="27"/>
        <v>15000</v>
      </c>
      <c r="N861" s="99"/>
      <c r="O861" s="99"/>
      <c r="P861" s="48">
        <v>41214</v>
      </c>
      <c r="Q861" s="48">
        <v>41579</v>
      </c>
      <c r="R861" s="49">
        <v>11847</v>
      </c>
    </row>
    <row r="862" spans="1:18" s="1" customFormat="1" ht="76.5" x14ac:dyDescent="0.2">
      <c r="A862" s="45" t="s">
        <v>2579</v>
      </c>
      <c r="B862" s="57">
        <v>17817</v>
      </c>
      <c r="C862" s="60" t="s">
        <v>66</v>
      </c>
      <c r="D862" s="60" t="s">
        <v>2580</v>
      </c>
      <c r="E862" s="50" t="s">
        <v>2360</v>
      </c>
      <c r="F862" s="50" t="s">
        <v>87</v>
      </c>
      <c r="G862" s="60" t="s">
        <v>2581</v>
      </c>
      <c r="H862" s="99"/>
      <c r="I862" s="100">
        <v>15000</v>
      </c>
      <c r="J862" s="99"/>
      <c r="K862" s="99"/>
      <c r="L862" s="89">
        <f t="shared" si="26"/>
        <v>15000</v>
      </c>
      <c r="M862" s="87">
        <f t="shared" si="27"/>
        <v>15000</v>
      </c>
      <c r="N862" s="99"/>
      <c r="O862" s="99"/>
      <c r="P862" s="48">
        <v>41214</v>
      </c>
      <c r="Q862" s="68">
        <v>42064</v>
      </c>
      <c r="R862" s="49">
        <v>11849</v>
      </c>
    </row>
    <row r="863" spans="1:18" s="1" customFormat="1" ht="51" x14ac:dyDescent="0.2">
      <c r="A863" s="45" t="s">
        <v>2582</v>
      </c>
      <c r="B863" s="57">
        <v>24840</v>
      </c>
      <c r="C863" s="60" t="s">
        <v>66</v>
      </c>
      <c r="D863" s="60" t="s">
        <v>531</v>
      </c>
      <c r="E863" s="50" t="s">
        <v>2360</v>
      </c>
      <c r="F863" s="50" t="s">
        <v>26</v>
      </c>
      <c r="G863" s="60" t="s">
        <v>2583</v>
      </c>
      <c r="H863" s="99"/>
      <c r="I863" s="100">
        <v>15000</v>
      </c>
      <c r="J863" s="99"/>
      <c r="K863" s="99"/>
      <c r="L863" s="89">
        <f t="shared" si="26"/>
        <v>15000</v>
      </c>
      <c r="M863" s="87">
        <f t="shared" si="27"/>
        <v>15000</v>
      </c>
      <c r="N863" s="99"/>
      <c r="O863" s="99"/>
      <c r="P863" s="48">
        <v>41214</v>
      </c>
      <c r="Q863" s="48">
        <v>41579</v>
      </c>
      <c r="R863" s="49">
        <v>11865</v>
      </c>
    </row>
    <row r="864" spans="1:18" s="1" customFormat="1" ht="63.75" x14ac:dyDescent="0.2">
      <c r="A864" s="45" t="s">
        <v>2584</v>
      </c>
      <c r="B864" s="57">
        <v>24993</v>
      </c>
      <c r="C864" s="60" t="s">
        <v>66</v>
      </c>
      <c r="D864" s="60" t="s">
        <v>544</v>
      </c>
      <c r="E864" s="50" t="s">
        <v>2360</v>
      </c>
      <c r="F864" s="50" t="s">
        <v>398</v>
      </c>
      <c r="G864" s="60" t="s">
        <v>2585</v>
      </c>
      <c r="H864" s="99"/>
      <c r="I864" s="100">
        <v>12000</v>
      </c>
      <c r="J864" s="99"/>
      <c r="K864" s="99"/>
      <c r="L864" s="89">
        <f t="shared" si="26"/>
        <v>12000</v>
      </c>
      <c r="M864" s="87">
        <f t="shared" si="27"/>
        <v>12000</v>
      </c>
      <c r="N864" s="99"/>
      <c r="O864" s="99"/>
      <c r="P864" s="48">
        <v>41214</v>
      </c>
      <c r="Q864" s="48">
        <v>41579</v>
      </c>
      <c r="R864" s="49">
        <v>11946</v>
      </c>
    </row>
    <row r="865" spans="1:18" s="1" customFormat="1" ht="25.5" x14ac:dyDescent="0.2">
      <c r="A865" s="45" t="s">
        <v>2586</v>
      </c>
      <c r="B865" s="57">
        <v>25302</v>
      </c>
      <c r="C865" s="60" t="s">
        <v>66</v>
      </c>
      <c r="D865" s="60" t="s">
        <v>2587</v>
      </c>
      <c r="E865" s="50" t="s">
        <v>2360</v>
      </c>
      <c r="F865" s="50" t="s">
        <v>45</v>
      </c>
      <c r="G865" s="60" t="s">
        <v>2588</v>
      </c>
      <c r="H865" s="99"/>
      <c r="I865" s="100">
        <v>12000</v>
      </c>
      <c r="J865" s="99"/>
      <c r="K865" s="99"/>
      <c r="L865" s="89">
        <f t="shared" si="26"/>
        <v>12000</v>
      </c>
      <c r="M865" s="87">
        <f t="shared" si="27"/>
        <v>12000</v>
      </c>
      <c r="N865" s="99"/>
      <c r="O865" s="99"/>
      <c r="P865" s="48">
        <v>41214</v>
      </c>
      <c r="Q865" s="48">
        <v>41579</v>
      </c>
      <c r="R865" s="49">
        <v>11936</v>
      </c>
    </row>
    <row r="866" spans="1:18" s="1" customFormat="1" ht="63.75" x14ac:dyDescent="0.2">
      <c r="A866" s="45" t="s">
        <v>2589</v>
      </c>
      <c r="B866" s="57">
        <v>22536</v>
      </c>
      <c r="C866" s="60" t="s">
        <v>66</v>
      </c>
      <c r="D866" s="60" t="s">
        <v>2590</v>
      </c>
      <c r="E866" s="50" t="s">
        <v>2360</v>
      </c>
      <c r="F866" s="50" t="s">
        <v>109</v>
      </c>
      <c r="G866" s="60" t="s">
        <v>2591</v>
      </c>
      <c r="H866" s="99"/>
      <c r="I866" s="100">
        <v>12000</v>
      </c>
      <c r="J866" s="99"/>
      <c r="K866" s="99"/>
      <c r="L866" s="89">
        <f t="shared" si="26"/>
        <v>12000</v>
      </c>
      <c r="M866" s="87">
        <f t="shared" si="27"/>
        <v>12000</v>
      </c>
      <c r="N866" s="99"/>
      <c r="O866" s="99"/>
      <c r="P866" s="48">
        <v>41214</v>
      </c>
      <c r="Q866" s="48">
        <v>41579</v>
      </c>
      <c r="R866" s="49">
        <v>11934</v>
      </c>
    </row>
    <row r="867" spans="1:18" s="1" customFormat="1" ht="63.75" x14ac:dyDescent="0.2">
      <c r="A867" s="45" t="s">
        <v>2592</v>
      </c>
      <c r="B867" s="57">
        <v>23936</v>
      </c>
      <c r="C867" s="60" t="s">
        <v>66</v>
      </c>
      <c r="D867" s="60" t="s">
        <v>2593</v>
      </c>
      <c r="E867" s="50" t="s">
        <v>2360</v>
      </c>
      <c r="F867" s="50" t="s">
        <v>167</v>
      </c>
      <c r="G867" s="60" t="s">
        <v>2594</v>
      </c>
      <c r="H867" s="99"/>
      <c r="I867" s="100">
        <v>15000</v>
      </c>
      <c r="J867" s="99"/>
      <c r="K867" s="99"/>
      <c r="L867" s="89">
        <f t="shared" si="26"/>
        <v>15000</v>
      </c>
      <c r="M867" s="87">
        <f t="shared" si="27"/>
        <v>15000</v>
      </c>
      <c r="N867" s="99"/>
      <c r="O867" s="99"/>
      <c r="P867" s="48">
        <v>41214</v>
      </c>
      <c r="Q867" s="48">
        <v>41579</v>
      </c>
      <c r="R867" s="49">
        <v>11845</v>
      </c>
    </row>
    <row r="868" spans="1:18" s="1" customFormat="1" ht="89.25" x14ac:dyDescent="0.2">
      <c r="A868" s="45" t="s">
        <v>2595</v>
      </c>
      <c r="B868" s="57">
        <v>22587</v>
      </c>
      <c r="C868" s="60" t="s">
        <v>66</v>
      </c>
      <c r="D868" s="60" t="s">
        <v>2596</v>
      </c>
      <c r="E868" s="50" t="s">
        <v>2360</v>
      </c>
      <c r="F868" s="50" t="s">
        <v>167</v>
      </c>
      <c r="G868" s="60" t="s">
        <v>2597</v>
      </c>
      <c r="H868" s="99"/>
      <c r="I868" s="100">
        <v>12000</v>
      </c>
      <c r="J868" s="99"/>
      <c r="K868" s="99"/>
      <c r="L868" s="89">
        <f t="shared" si="26"/>
        <v>12000</v>
      </c>
      <c r="M868" s="87">
        <f t="shared" si="27"/>
        <v>12000</v>
      </c>
      <c r="N868" s="99"/>
      <c r="O868" s="99"/>
      <c r="P868" s="48">
        <v>41214</v>
      </c>
      <c r="Q868" s="48">
        <v>42248</v>
      </c>
      <c r="R868" s="49">
        <v>11846</v>
      </c>
    </row>
    <row r="869" spans="1:18" s="1" customFormat="1" ht="102" x14ac:dyDescent="0.2">
      <c r="A869" s="45" t="s">
        <v>2598</v>
      </c>
      <c r="B869" s="57">
        <v>22854</v>
      </c>
      <c r="C869" s="60" t="s">
        <v>66</v>
      </c>
      <c r="D869" s="60" t="s">
        <v>2599</v>
      </c>
      <c r="E869" s="50" t="s">
        <v>2360</v>
      </c>
      <c r="F869" s="50" t="s">
        <v>167</v>
      </c>
      <c r="G869" s="60" t="s">
        <v>2600</v>
      </c>
      <c r="H869" s="99"/>
      <c r="I869" s="100">
        <v>15000</v>
      </c>
      <c r="J869" s="99"/>
      <c r="K869" s="99"/>
      <c r="L869" s="89">
        <f t="shared" si="26"/>
        <v>15000</v>
      </c>
      <c r="M869" s="87">
        <f t="shared" si="27"/>
        <v>15000</v>
      </c>
      <c r="N869" s="99"/>
      <c r="O869" s="99"/>
      <c r="P869" s="48">
        <v>41214</v>
      </c>
      <c r="Q869" s="48">
        <v>41579</v>
      </c>
      <c r="R869" s="49">
        <v>11844</v>
      </c>
    </row>
    <row r="870" spans="1:18" s="1" customFormat="1" ht="63.75" x14ac:dyDescent="0.2">
      <c r="A870" s="45" t="s">
        <v>2601</v>
      </c>
      <c r="B870" s="57">
        <v>25053</v>
      </c>
      <c r="C870" s="60" t="s">
        <v>66</v>
      </c>
      <c r="D870" s="60" t="s">
        <v>2602</v>
      </c>
      <c r="E870" s="50" t="s">
        <v>2360</v>
      </c>
      <c r="F870" s="50" t="s">
        <v>167</v>
      </c>
      <c r="G870" s="60" t="s">
        <v>2603</v>
      </c>
      <c r="H870" s="99"/>
      <c r="I870" s="100">
        <v>12000</v>
      </c>
      <c r="J870" s="99"/>
      <c r="K870" s="99"/>
      <c r="L870" s="89">
        <f t="shared" si="26"/>
        <v>12000</v>
      </c>
      <c r="M870" s="87">
        <f t="shared" si="27"/>
        <v>12000</v>
      </c>
      <c r="N870" s="99"/>
      <c r="O870" s="99"/>
      <c r="P870" s="48">
        <v>41214</v>
      </c>
      <c r="Q870" s="48">
        <v>41579</v>
      </c>
      <c r="R870" s="49">
        <v>11962</v>
      </c>
    </row>
    <row r="871" spans="1:18" s="1" customFormat="1" ht="63.75" x14ac:dyDescent="0.2">
      <c r="A871" s="45" t="s">
        <v>2604</v>
      </c>
      <c r="B871" s="57">
        <v>25204</v>
      </c>
      <c r="C871" s="60" t="s">
        <v>66</v>
      </c>
      <c r="D871" s="60" t="s">
        <v>2605</v>
      </c>
      <c r="E871" s="50" t="s">
        <v>2360</v>
      </c>
      <c r="F871" s="50" t="s">
        <v>167</v>
      </c>
      <c r="G871" s="60" t="s">
        <v>2606</v>
      </c>
      <c r="H871" s="99"/>
      <c r="I871" s="100">
        <v>12000</v>
      </c>
      <c r="J871" s="99"/>
      <c r="K871" s="99"/>
      <c r="L871" s="89">
        <f t="shared" si="26"/>
        <v>12000</v>
      </c>
      <c r="M871" s="87">
        <f t="shared" si="27"/>
        <v>12000</v>
      </c>
      <c r="N871" s="99"/>
      <c r="O871" s="99"/>
      <c r="P871" s="48">
        <v>41214</v>
      </c>
      <c r="Q871" s="48">
        <v>41579</v>
      </c>
      <c r="R871" s="49">
        <v>11935</v>
      </c>
    </row>
    <row r="872" spans="1:18" s="1" customFormat="1" ht="51" x14ac:dyDescent="0.2">
      <c r="A872" s="45" t="s">
        <v>2607</v>
      </c>
      <c r="B872" s="57">
        <v>25033</v>
      </c>
      <c r="C872" s="60" t="s">
        <v>2608</v>
      </c>
      <c r="D872" s="60" t="s">
        <v>2609</v>
      </c>
      <c r="E872" s="50" t="s">
        <v>2360</v>
      </c>
      <c r="F872" s="50" t="s">
        <v>98</v>
      </c>
      <c r="G872" s="60" t="s">
        <v>2610</v>
      </c>
      <c r="H872" s="99"/>
      <c r="I872" s="100">
        <v>15000</v>
      </c>
      <c r="J872" s="99"/>
      <c r="K872" s="99"/>
      <c r="L872" s="89">
        <f t="shared" si="26"/>
        <v>15000</v>
      </c>
      <c r="M872" s="87">
        <f t="shared" si="27"/>
        <v>15000</v>
      </c>
      <c r="N872" s="99"/>
      <c r="O872" s="99"/>
      <c r="P872" s="48">
        <v>41183</v>
      </c>
      <c r="Q872" s="48">
        <v>41548</v>
      </c>
      <c r="R872" s="49">
        <v>11370</v>
      </c>
    </row>
    <row r="873" spans="1:18" s="1" customFormat="1" ht="38.25" x14ac:dyDescent="0.2">
      <c r="A873" s="45" t="s">
        <v>2611</v>
      </c>
      <c r="B873" s="57">
        <v>25048</v>
      </c>
      <c r="C873" s="60" t="s">
        <v>2608</v>
      </c>
      <c r="D873" s="60" t="s">
        <v>2612</v>
      </c>
      <c r="E873" s="50" t="s">
        <v>2360</v>
      </c>
      <c r="F873" s="50" t="s">
        <v>26</v>
      </c>
      <c r="G873" s="60" t="s">
        <v>2613</v>
      </c>
      <c r="H873" s="99"/>
      <c r="I873" s="100">
        <v>12000</v>
      </c>
      <c r="J873" s="99"/>
      <c r="K873" s="99"/>
      <c r="L873" s="89">
        <f t="shared" si="26"/>
        <v>12000</v>
      </c>
      <c r="M873" s="87">
        <f t="shared" si="27"/>
        <v>12000</v>
      </c>
      <c r="N873" s="99"/>
      <c r="O873" s="99"/>
      <c r="P873" s="48">
        <v>41183</v>
      </c>
      <c r="Q873" s="48">
        <v>41548</v>
      </c>
      <c r="R873" s="49">
        <v>11413</v>
      </c>
    </row>
    <row r="874" spans="1:18" s="1" customFormat="1" ht="38.25" x14ac:dyDescent="0.2">
      <c r="A874" s="45" t="s">
        <v>2614</v>
      </c>
      <c r="B874" s="57">
        <v>21427</v>
      </c>
      <c r="C874" s="60" t="s">
        <v>2608</v>
      </c>
      <c r="D874" s="60" t="s">
        <v>2615</v>
      </c>
      <c r="E874" s="50" t="s">
        <v>2360</v>
      </c>
      <c r="F874" s="50" t="s">
        <v>45</v>
      </c>
      <c r="G874" s="60" t="s">
        <v>2616</v>
      </c>
      <c r="H874" s="99"/>
      <c r="I874" s="100">
        <v>15000</v>
      </c>
      <c r="J874" s="99"/>
      <c r="K874" s="99"/>
      <c r="L874" s="89">
        <f t="shared" si="26"/>
        <v>15000</v>
      </c>
      <c r="M874" s="87">
        <f t="shared" si="27"/>
        <v>15000</v>
      </c>
      <c r="N874" s="99"/>
      <c r="O874" s="99"/>
      <c r="P874" s="48">
        <v>41183</v>
      </c>
      <c r="Q874" s="48">
        <v>41548</v>
      </c>
      <c r="R874" s="49">
        <v>11410</v>
      </c>
    </row>
    <row r="875" spans="1:18" s="1" customFormat="1" ht="38.25" x14ac:dyDescent="0.2">
      <c r="A875" s="45" t="s">
        <v>2617</v>
      </c>
      <c r="B875" s="57">
        <v>24764</v>
      </c>
      <c r="C875" s="60" t="s">
        <v>2608</v>
      </c>
      <c r="D875" s="60" t="s">
        <v>497</v>
      </c>
      <c r="E875" s="50" t="s">
        <v>2360</v>
      </c>
      <c r="F875" s="50" t="s">
        <v>45</v>
      </c>
      <c r="G875" s="60" t="s">
        <v>2618</v>
      </c>
      <c r="H875" s="99"/>
      <c r="I875" s="100">
        <v>12000</v>
      </c>
      <c r="J875" s="99"/>
      <c r="K875" s="99"/>
      <c r="L875" s="89">
        <f t="shared" si="26"/>
        <v>12000</v>
      </c>
      <c r="M875" s="87">
        <f t="shared" si="27"/>
        <v>12000</v>
      </c>
      <c r="N875" s="99"/>
      <c r="O875" s="99"/>
      <c r="P875" s="48">
        <v>41183</v>
      </c>
      <c r="Q875" s="48">
        <v>41548</v>
      </c>
      <c r="R875" s="49">
        <v>11409</v>
      </c>
    </row>
    <row r="876" spans="1:18" s="1" customFormat="1" ht="38.25" x14ac:dyDescent="0.2">
      <c r="A876" s="45" t="s">
        <v>2619</v>
      </c>
      <c r="B876" s="57">
        <v>24502</v>
      </c>
      <c r="C876" s="60" t="s">
        <v>2608</v>
      </c>
      <c r="D876" s="60" t="s">
        <v>2620</v>
      </c>
      <c r="E876" s="50" t="s">
        <v>2360</v>
      </c>
      <c r="F876" s="50" t="s">
        <v>45</v>
      </c>
      <c r="G876" s="60" t="s">
        <v>2621</v>
      </c>
      <c r="H876" s="99"/>
      <c r="I876" s="100">
        <v>15000</v>
      </c>
      <c r="J876" s="99"/>
      <c r="K876" s="99"/>
      <c r="L876" s="89">
        <f t="shared" si="26"/>
        <v>15000</v>
      </c>
      <c r="M876" s="87">
        <f t="shared" si="27"/>
        <v>15000</v>
      </c>
      <c r="N876" s="99"/>
      <c r="O876" s="99"/>
      <c r="P876" s="48">
        <v>41183</v>
      </c>
      <c r="Q876" s="48">
        <v>41548</v>
      </c>
      <c r="R876" s="49">
        <v>11427</v>
      </c>
    </row>
    <row r="877" spans="1:18" s="1" customFormat="1" ht="89.25" x14ac:dyDescent="0.2">
      <c r="A877" s="45" t="s">
        <v>2622</v>
      </c>
      <c r="B877" s="57">
        <v>25147</v>
      </c>
      <c r="C877" s="60" t="s">
        <v>2608</v>
      </c>
      <c r="D877" s="60" t="s">
        <v>2319</v>
      </c>
      <c r="E877" s="50" t="s">
        <v>2360</v>
      </c>
      <c r="F877" s="50" t="s">
        <v>45</v>
      </c>
      <c r="G877" s="60" t="s">
        <v>2623</v>
      </c>
      <c r="H877" s="99"/>
      <c r="I877" s="100">
        <v>15000</v>
      </c>
      <c r="J877" s="99"/>
      <c r="K877" s="99"/>
      <c r="L877" s="89">
        <f t="shared" si="26"/>
        <v>15000</v>
      </c>
      <c r="M877" s="87">
        <f t="shared" si="27"/>
        <v>15000</v>
      </c>
      <c r="N877" s="99"/>
      <c r="O877" s="99"/>
      <c r="P877" s="48">
        <v>41183</v>
      </c>
      <c r="Q877" s="48">
        <v>41548</v>
      </c>
      <c r="R877" s="49">
        <v>11424</v>
      </c>
    </row>
    <row r="878" spans="1:18" s="1" customFormat="1" ht="38.25" x14ac:dyDescent="0.2">
      <c r="A878" s="45" t="s">
        <v>2624</v>
      </c>
      <c r="B878" s="57">
        <v>24945</v>
      </c>
      <c r="C878" s="60" t="s">
        <v>2608</v>
      </c>
      <c r="D878" s="60" t="s">
        <v>711</v>
      </c>
      <c r="E878" s="50" t="s">
        <v>2360</v>
      </c>
      <c r="F878" s="50" t="s">
        <v>167</v>
      </c>
      <c r="G878" s="60" t="s">
        <v>2625</v>
      </c>
      <c r="H878" s="99"/>
      <c r="I878" s="100">
        <v>15000</v>
      </c>
      <c r="J878" s="99"/>
      <c r="K878" s="99"/>
      <c r="L878" s="89">
        <f t="shared" si="26"/>
        <v>15000</v>
      </c>
      <c r="M878" s="87">
        <f t="shared" si="27"/>
        <v>15000</v>
      </c>
      <c r="N878" s="99"/>
      <c r="O878" s="99"/>
      <c r="P878" s="48">
        <v>41183</v>
      </c>
      <c r="Q878" s="48">
        <v>41548</v>
      </c>
      <c r="R878" s="49">
        <v>11425</v>
      </c>
    </row>
    <row r="879" spans="1:18" s="1" customFormat="1" ht="63.75" x14ac:dyDescent="0.2">
      <c r="A879" s="45" t="s">
        <v>2626</v>
      </c>
      <c r="B879" s="57">
        <v>22661</v>
      </c>
      <c r="C879" s="60" t="s">
        <v>2608</v>
      </c>
      <c r="D879" s="60" t="s">
        <v>2627</v>
      </c>
      <c r="E879" s="50" t="s">
        <v>2360</v>
      </c>
      <c r="F879" s="50" t="s">
        <v>167</v>
      </c>
      <c r="G879" s="60" t="s">
        <v>2628</v>
      </c>
      <c r="H879" s="99"/>
      <c r="I879" s="100">
        <v>15000</v>
      </c>
      <c r="J879" s="99"/>
      <c r="K879" s="99"/>
      <c r="L879" s="89">
        <f t="shared" si="26"/>
        <v>15000</v>
      </c>
      <c r="M879" s="87">
        <f t="shared" si="27"/>
        <v>15000</v>
      </c>
      <c r="N879" s="99"/>
      <c r="O879" s="99"/>
      <c r="P879" s="48">
        <v>41183</v>
      </c>
      <c r="Q879" s="48">
        <v>41548</v>
      </c>
      <c r="R879" s="49">
        <v>11416</v>
      </c>
    </row>
    <row r="880" spans="1:18" s="1" customFormat="1" ht="63.75" x14ac:dyDescent="0.2">
      <c r="A880" s="45" t="s">
        <v>2629</v>
      </c>
      <c r="B880" s="57">
        <v>23587</v>
      </c>
      <c r="C880" s="60" t="s">
        <v>2608</v>
      </c>
      <c r="D880" s="60" t="s">
        <v>2630</v>
      </c>
      <c r="E880" s="50" t="s">
        <v>2360</v>
      </c>
      <c r="F880" s="50" t="s">
        <v>167</v>
      </c>
      <c r="G880" s="60" t="s">
        <v>2631</v>
      </c>
      <c r="H880" s="99"/>
      <c r="I880" s="100">
        <v>15000</v>
      </c>
      <c r="J880" s="99"/>
      <c r="K880" s="99"/>
      <c r="L880" s="89">
        <f t="shared" si="26"/>
        <v>15000</v>
      </c>
      <c r="M880" s="87">
        <f t="shared" si="27"/>
        <v>15000</v>
      </c>
      <c r="N880" s="99"/>
      <c r="O880" s="99"/>
      <c r="P880" s="48">
        <v>41183</v>
      </c>
      <c r="Q880" s="48">
        <v>41548</v>
      </c>
      <c r="R880" s="49">
        <v>11415</v>
      </c>
    </row>
    <row r="881" spans="1:18" s="1" customFormat="1" ht="89.25" x14ac:dyDescent="0.2">
      <c r="A881" s="45" t="s">
        <v>2632</v>
      </c>
      <c r="B881" s="57">
        <v>25143</v>
      </c>
      <c r="C881" s="60" t="s">
        <v>2608</v>
      </c>
      <c r="D881" s="60" t="s">
        <v>1499</v>
      </c>
      <c r="E881" s="50" t="s">
        <v>2360</v>
      </c>
      <c r="F881" s="50" t="s">
        <v>167</v>
      </c>
      <c r="G881" s="60" t="s">
        <v>2633</v>
      </c>
      <c r="H881" s="99"/>
      <c r="I881" s="100">
        <v>15000</v>
      </c>
      <c r="J881" s="99"/>
      <c r="K881" s="99"/>
      <c r="L881" s="89">
        <f t="shared" si="26"/>
        <v>15000</v>
      </c>
      <c r="M881" s="87">
        <f t="shared" si="27"/>
        <v>15000</v>
      </c>
      <c r="N881" s="99"/>
      <c r="O881" s="99"/>
      <c r="P881" s="48">
        <v>41183</v>
      </c>
      <c r="Q881" s="48">
        <v>41548</v>
      </c>
      <c r="R881" s="49">
        <v>11430</v>
      </c>
    </row>
    <row r="882" spans="1:18" s="1" customFormat="1" ht="76.5" x14ac:dyDescent="0.2">
      <c r="A882" s="45" t="s">
        <v>2634</v>
      </c>
      <c r="B882" s="57">
        <v>24968</v>
      </c>
      <c r="C882" s="60" t="s">
        <v>2608</v>
      </c>
      <c r="D882" s="60" t="s">
        <v>2635</v>
      </c>
      <c r="E882" s="50" t="s">
        <v>2360</v>
      </c>
      <c r="F882" s="50" t="s">
        <v>94</v>
      </c>
      <c r="G882" s="60" t="s">
        <v>2636</v>
      </c>
      <c r="H882" s="99"/>
      <c r="I882" s="100">
        <v>15000</v>
      </c>
      <c r="J882" s="99"/>
      <c r="K882" s="99"/>
      <c r="L882" s="89">
        <f t="shared" si="26"/>
        <v>15000</v>
      </c>
      <c r="M882" s="87">
        <f t="shared" si="27"/>
        <v>15000</v>
      </c>
      <c r="N882" s="99"/>
      <c r="O882" s="99"/>
      <c r="P882" s="48">
        <v>41183</v>
      </c>
      <c r="Q882" s="48">
        <v>41548</v>
      </c>
      <c r="R882" s="49">
        <v>11428</v>
      </c>
    </row>
    <row r="883" spans="1:18" s="1" customFormat="1" ht="25.5" x14ac:dyDescent="0.2">
      <c r="A883" s="45" t="s">
        <v>2637</v>
      </c>
      <c r="B883" s="45">
        <v>34335</v>
      </c>
      <c r="C883" s="50" t="s">
        <v>66</v>
      </c>
      <c r="D883" s="50" t="s">
        <v>2638</v>
      </c>
      <c r="E883" s="80" t="s">
        <v>2639</v>
      </c>
      <c r="F883" s="50" t="s">
        <v>63</v>
      </c>
      <c r="G883" s="50" t="s">
        <v>2640</v>
      </c>
      <c r="H883" s="88">
        <v>1400</v>
      </c>
      <c r="I883" s="100"/>
      <c r="J883" s="99"/>
      <c r="K883" s="99"/>
      <c r="L883" s="89">
        <f t="shared" si="26"/>
        <v>1400</v>
      </c>
      <c r="M883" s="87">
        <f t="shared" si="27"/>
        <v>1400</v>
      </c>
      <c r="N883" s="99"/>
      <c r="O883" s="99"/>
      <c r="P883" s="48">
        <v>41176</v>
      </c>
      <c r="Q883" s="48">
        <v>41357</v>
      </c>
      <c r="R883" s="49">
        <v>11098</v>
      </c>
    </row>
    <row r="884" spans="1:18" s="1" customFormat="1" ht="51" x14ac:dyDescent="0.2">
      <c r="A884" s="45" t="s">
        <v>2641</v>
      </c>
      <c r="B884" s="45">
        <v>34223</v>
      </c>
      <c r="C884" s="50" t="s">
        <v>66</v>
      </c>
      <c r="D884" s="50" t="s">
        <v>2642</v>
      </c>
      <c r="E884" s="80" t="s">
        <v>2639</v>
      </c>
      <c r="F884" s="81" t="s">
        <v>98</v>
      </c>
      <c r="G884" s="50" t="s">
        <v>2643</v>
      </c>
      <c r="H884" s="88">
        <v>2932.94</v>
      </c>
      <c r="I884" s="100"/>
      <c r="J884" s="99"/>
      <c r="K884" s="99"/>
      <c r="L884" s="89">
        <f t="shared" si="26"/>
        <v>2932.94</v>
      </c>
      <c r="M884" s="87">
        <f t="shared" si="27"/>
        <v>2932.94</v>
      </c>
      <c r="N884" s="99"/>
      <c r="O884" s="99"/>
      <c r="P884" s="48">
        <v>41183</v>
      </c>
      <c r="Q884" s="48">
        <v>41365</v>
      </c>
      <c r="R884" s="49">
        <v>11927</v>
      </c>
    </row>
    <row r="885" spans="1:18" s="1" customFormat="1" ht="25.5" x14ac:dyDescent="0.2">
      <c r="A885" s="45" t="s">
        <v>2644</v>
      </c>
      <c r="B885" s="45">
        <v>34224</v>
      </c>
      <c r="C885" s="50" t="s">
        <v>66</v>
      </c>
      <c r="D885" s="50" t="s">
        <v>2645</v>
      </c>
      <c r="E885" s="80" t="s">
        <v>2639</v>
      </c>
      <c r="F885" s="50" t="s">
        <v>87</v>
      </c>
      <c r="G885" s="50" t="s">
        <v>2646</v>
      </c>
      <c r="H885" s="88">
        <v>4852</v>
      </c>
      <c r="I885" s="100"/>
      <c r="J885" s="99"/>
      <c r="K885" s="99"/>
      <c r="L885" s="89">
        <f t="shared" si="26"/>
        <v>4852</v>
      </c>
      <c r="M885" s="87">
        <f t="shared" si="27"/>
        <v>4852</v>
      </c>
      <c r="N885" s="99"/>
      <c r="O885" s="99"/>
      <c r="P885" s="48">
        <v>41183</v>
      </c>
      <c r="Q885" s="48">
        <v>41365</v>
      </c>
      <c r="R885" s="49">
        <v>11925</v>
      </c>
    </row>
    <row r="886" spans="1:18" s="1" customFormat="1" ht="25.5" x14ac:dyDescent="0.2">
      <c r="A886" s="45" t="s">
        <v>2647</v>
      </c>
      <c r="B886" s="45">
        <v>34375</v>
      </c>
      <c r="C886" s="50" t="s">
        <v>43</v>
      </c>
      <c r="D886" s="50" t="s">
        <v>2648</v>
      </c>
      <c r="E886" s="80" t="s">
        <v>2639</v>
      </c>
      <c r="F886" s="50" t="s">
        <v>167</v>
      </c>
      <c r="G886" s="50" t="s">
        <v>2649</v>
      </c>
      <c r="H886" s="88">
        <v>4370</v>
      </c>
      <c r="I886" s="100"/>
      <c r="J886" s="99"/>
      <c r="K886" s="99"/>
      <c r="L886" s="89">
        <f t="shared" si="26"/>
        <v>4370</v>
      </c>
      <c r="M886" s="87">
        <f t="shared" si="27"/>
        <v>4370</v>
      </c>
      <c r="N886" s="99"/>
      <c r="O886" s="99"/>
      <c r="P886" s="48">
        <v>41183</v>
      </c>
      <c r="Q886" s="48">
        <v>41365</v>
      </c>
      <c r="R886" s="49">
        <v>11795</v>
      </c>
    </row>
    <row r="887" spans="1:18" s="1" customFormat="1" ht="38.25" x14ac:dyDescent="0.2">
      <c r="A887" s="45" t="s">
        <v>2650</v>
      </c>
      <c r="B887" s="45">
        <v>34253</v>
      </c>
      <c r="C887" s="50" t="s">
        <v>19</v>
      </c>
      <c r="D887" s="50" t="s">
        <v>2651</v>
      </c>
      <c r="E887" s="80" t="s">
        <v>2639</v>
      </c>
      <c r="F887" s="50" t="s">
        <v>22</v>
      </c>
      <c r="G887" s="50" t="s">
        <v>2652</v>
      </c>
      <c r="H887" s="88">
        <v>4960</v>
      </c>
      <c r="I887" s="100"/>
      <c r="J887" s="99"/>
      <c r="K887" s="99"/>
      <c r="L887" s="89">
        <f t="shared" si="26"/>
        <v>4960</v>
      </c>
      <c r="M887" s="87">
        <f t="shared" si="27"/>
        <v>4960</v>
      </c>
      <c r="N887" s="99"/>
      <c r="O887" s="99"/>
      <c r="P887" s="48">
        <v>41183</v>
      </c>
      <c r="Q887" s="48">
        <v>41365</v>
      </c>
      <c r="R887" s="49">
        <v>11362</v>
      </c>
    </row>
    <row r="888" spans="1:18" s="1" customFormat="1" ht="51" x14ac:dyDescent="0.2">
      <c r="A888" s="45" t="s">
        <v>2653</v>
      </c>
      <c r="B888" s="45">
        <v>34372</v>
      </c>
      <c r="C888" s="50" t="s">
        <v>19</v>
      </c>
      <c r="D888" s="50" t="s">
        <v>2654</v>
      </c>
      <c r="E888" s="80" t="s">
        <v>2639</v>
      </c>
      <c r="F888" s="50" t="s">
        <v>71</v>
      </c>
      <c r="G888" s="50" t="s">
        <v>2655</v>
      </c>
      <c r="H888" s="88">
        <v>3425</v>
      </c>
      <c r="I888" s="100"/>
      <c r="J888" s="99"/>
      <c r="K888" s="99"/>
      <c r="L888" s="89">
        <f t="shared" si="26"/>
        <v>3425</v>
      </c>
      <c r="M888" s="87">
        <f t="shared" si="27"/>
        <v>3425</v>
      </c>
      <c r="N888" s="99"/>
      <c r="O888" s="99"/>
      <c r="P888" s="48">
        <v>41183</v>
      </c>
      <c r="Q888" s="48">
        <v>41365</v>
      </c>
      <c r="R888" s="49">
        <v>11302</v>
      </c>
    </row>
    <row r="889" spans="1:18" s="1" customFormat="1" ht="38.25" x14ac:dyDescent="0.2">
      <c r="A889" s="45" t="s">
        <v>2656</v>
      </c>
      <c r="B889" s="45">
        <v>34351</v>
      </c>
      <c r="C889" s="50" t="s">
        <v>19</v>
      </c>
      <c r="D889" s="50" t="s">
        <v>2657</v>
      </c>
      <c r="E889" s="80" t="s">
        <v>2639</v>
      </c>
      <c r="F889" s="81" t="s">
        <v>98</v>
      </c>
      <c r="G889" s="50" t="s">
        <v>2658</v>
      </c>
      <c r="H889" s="88">
        <v>5000</v>
      </c>
      <c r="I889" s="100"/>
      <c r="J889" s="99"/>
      <c r="K889" s="99"/>
      <c r="L889" s="89">
        <f t="shared" si="26"/>
        <v>5000</v>
      </c>
      <c r="M889" s="87">
        <f t="shared" si="27"/>
        <v>5000</v>
      </c>
      <c r="N889" s="99"/>
      <c r="O889" s="99"/>
      <c r="P889" s="48">
        <v>41183</v>
      </c>
      <c r="Q889" s="48">
        <v>41365</v>
      </c>
      <c r="R889" s="49">
        <v>11361</v>
      </c>
    </row>
    <row r="890" spans="1:18" s="1" customFormat="1" ht="25.5" x14ac:dyDescent="0.2">
      <c r="A890" s="45" t="s">
        <v>2659</v>
      </c>
      <c r="B890" s="45">
        <v>33722</v>
      </c>
      <c r="C890" s="50" t="s">
        <v>19</v>
      </c>
      <c r="D890" s="50" t="s">
        <v>2660</v>
      </c>
      <c r="E890" s="80" t="s">
        <v>2639</v>
      </c>
      <c r="F890" s="50" t="s">
        <v>167</v>
      </c>
      <c r="G890" s="50" t="s">
        <v>2661</v>
      </c>
      <c r="H890" s="88">
        <v>4690</v>
      </c>
      <c r="I890" s="100"/>
      <c r="J890" s="99"/>
      <c r="K890" s="99"/>
      <c r="L890" s="89">
        <f t="shared" si="26"/>
        <v>4690</v>
      </c>
      <c r="M890" s="87">
        <f t="shared" si="27"/>
        <v>4690</v>
      </c>
      <c r="N890" s="99"/>
      <c r="O890" s="99"/>
      <c r="P890" s="48">
        <v>41183</v>
      </c>
      <c r="Q890" s="48">
        <v>41365</v>
      </c>
      <c r="R890" s="49">
        <v>11358</v>
      </c>
    </row>
    <row r="891" spans="1:18" s="1" customFormat="1" ht="38.25" x14ac:dyDescent="0.2">
      <c r="A891" s="45" t="s">
        <v>2662</v>
      </c>
      <c r="B891" s="45">
        <v>33564</v>
      </c>
      <c r="C891" s="50" t="s">
        <v>19</v>
      </c>
      <c r="D891" s="50" t="s">
        <v>2663</v>
      </c>
      <c r="E891" s="80" t="s">
        <v>2639</v>
      </c>
      <c r="F891" s="81" t="s">
        <v>98</v>
      </c>
      <c r="G891" s="50" t="s">
        <v>2664</v>
      </c>
      <c r="H891" s="88">
        <v>4000</v>
      </c>
      <c r="I891" s="100"/>
      <c r="J891" s="99"/>
      <c r="K891" s="99"/>
      <c r="L891" s="89">
        <f t="shared" si="26"/>
        <v>4000</v>
      </c>
      <c r="M891" s="87">
        <f t="shared" si="27"/>
        <v>4000</v>
      </c>
      <c r="N891" s="99"/>
      <c r="O891" s="99"/>
      <c r="P891" s="48">
        <v>41177</v>
      </c>
      <c r="Q891" s="48">
        <v>41358</v>
      </c>
      <c r="R891" s="49">
        <v>11278</v>
      </c>
    </row>
    <row r="892" spans="1:18" s="1" customFormat="1" ht="25.5" x14ac:dyDescent="0.2">
      <c r="A892" s="45" t="s">
        <v>2665</v>
      </c>
      <c r="B892" s="45">
        <v>34547</v>
      </c>
      <c r="C892" s="50" t="s">
        <v>238</v>
      </c>
      <c r="D892" s="50" t="s">
        <v>475</v>
      </c>
      <c r="E892" s="80" t="s">
        <v>2639</v>
      </c>
      <c r="F892" s="50" t="s">
        <v>87</v>
      </c>
      <c r="G892" s="50" t="s">
        <v>2666</v>
      </c>
      <c r="H892" s="88">
        <v>5000</v>
      </c>
      <c r="I892" s="100"/>
      <c r="J892" s="99"/>
      <c r="K892" s="99"/>
      <c r="L892" s="89">
        <f t="shared" si="26"/>
        <v>5000</v>
      </c>
      <c r="M892" s="87">
        <f t="shared" si="27"/>
        <v>5000</v>
      </c>
      <c r="N892" s="99"/>
      <c r="O892" s="99"/>
      <c r="P892" s="48">
        <v>41183</v>
      </c>
      <c r="Q892" s="48">
        <v>41365</v>
      </c>
      <c r="R892" s="49">
        <v>11356</v>
      </c>
    </row>
    <row r="893" spans="1:18" s="1" customFormat="1" ht="25.5" x14ac:dyDescent="0.2">
      <c r="A893" s="45" t="s">
        <v>2667</v>
      </c>
      <c r="B893" s="45">
        <v>34099</v>
      </c>
      <c r="C893" s="50" t="s">
        <v>238</v>
      </c>
      <c r="D893" s="50" t="s">
        <v>2544</v>
      </c>
      <c r="E893" s="80" t="s">
        <v>2639</v>
      </c>
      <c r="F893" s="81" t="s">
        <v>98</v>
      </c>
      <c r="G893" s="50" t="s">
        <v>2668</v>
      </c>
      <c r="H893" s="88">
        <v>3665</v>
      </c>
      <c r="I893" s="100"/>
      <c r="J893" s="99"/>
      <c r="K893" s="99"/>
      <c r="L893" s="89">
        <f t="shared" si="26"/>
        <v>3665</v>
      </c>
      <c r="M893" s="87">
        <f t="shared" si="27"/>
        <v>3665</v>
      </c>
      <c r="N893" s="99"/>
      <c r="O893" s="99"/>
      <c r="P893" s="48">
        <v>41177</v>
      </c>
      <c r="Q893" s="48">
        <v>41358</v>
      </c>
      <c r="R893" s="49">
        <v>11296</v>
      </c>
    </row>
    <row r="894" spans="1:18" s="1" customFormat="1" ht="25.5" x14ac:dyDescent="0.2">
      <c r="A894" s="45" t="s">
        <v>2669</v>
      </c>
      <c r="B894" s="45">
        <v>33559</v>
      </c>
      <c r="C894" s="50" t="s">
        <v>53</v>
      </c>
      <c r="D894" s="50" t="s">
        <v>2670</v>
      </c>
      <c r="E894" s="80" t="s">
        <v>2639</v>
      </c>
      <c r="F894" s="50" t="s">
        <v>45</v>
      </c>
      <c r="G894" s="50" t="s">
        <v>2671</v>
      </c>
      <c r="H894" s="88">
        <v>4157</v>
      </c>
      <c r="I894" s="100"/>
      <c r="J894" s="99"/>
      <c r="K894" s="99"/>
      <c r="L894" s="89">
        <f t="shared" si="26"/>
        <v>4157</v>
      </c>
      <c r="M894" s="87">
        <f t="shared" si="27"/>
        <v>4157</v>
      </c>
      <c r="N894" s="99"/>
      <c r="O894" s="99"/>
      <c r="P894" s="48">
        <v>41183</v>
      </c>
      <c r="Q894" s="48">
        <v>41365</v>
      </c>
      <c r="R894" s="49">
        <v>11945</v>
      </c>
    </row>
    <row r="895" spans="1:18" s="1" customFormat="1" ht="25.5" x14ac:dyDescent="0.2">
      <c r="A895" s="45" t="s">
        <v>2672</v>
      </c>
      <c r="B895" s="45">
        <v>34341</v>
      </c>
      <c r="C895" s="50" t="s">
        <v>263</v>
      </c>
      <c r="D895" s="50" t="s">
        <v>2673</v>
      </c>
      <c r="E895" s="80" t="s">
        <v>2639</v>
      </c>
      <c r="F895" s="50" t="s">
        <v>167</v>
      </c>
      <c r="G895" s="50" t="s">
        <v>2674</v>
      </c>
      <c r="H895" s="88">
        <v>4936</v>
      </c>
      <c r="I895" s="100"/>
      <c r="J895" s="99"/>
      <c r="K895" s="99"/>
      <c r="L895" s="89">
        <f t="shared" si="26"/>
        <v>4936</v>
      </c>
      <c r="M895" s="87">
        <f t="shared" si="27"/>
        <v>4936</v>
      </c>
      <c r="N895" s="99"/>
      <c r="O895" s="99"/>
      <c r="P895" s="48">
        <v>41190</v>
      </c>
      <c r="Q895" s="48">
        <v>41372</v>
      </c>
      <c r="R895" s="49">
        <v>11866</v>
      </c>
    </row>
    <row r="896" spans="1:18" s="1" customFormat="1" ht="38.25" x14ac:dyDescent="0.2">
      <c r="A896" s="45" t="s">
        <v>2675</v>
      </c>
      <c r="B896" s="45">
        <v>34266</v>
      </c>
      <c r="C896" s="50" t="s">
        <v>263</v>
      </c>
      <c r="D896" s="50" t="s">
        <v>2676</v>
      </c>
      <c r="E896" s="80" t="s">
        <v>2639</v>
      </c>
      <c r="F896" s="81" t="s">
        <v>87</v>
      </c>
      <c r="G896" s="50" t="s">
        <v>2677</v>
      </c>
      <c r="H896" s="88">
        <v>2740</v>
      </c>
      <c r="I896" s="100"/>
      <c r="J896" s="99"/>
      <c r="K896" s="99"/>
      <c r="L896" s="89">
        <f t="shared" si="26"/>
        <v>2740</v>
      </c>
      <c r="M896" s="87">
        <f t="shared" si="27"/>
        <v>2740</v>
      </c>
      <c r="N896" s="99"/>
      <c r="O896" s="99"/>
      <c r="P896" s="48">
        <v>41197</v>
      </c>
      <c r="Q896" s="48">
        <v>41379</v>
      </c>
      <c r="R896" s="49">
        <v>11864</v>
      </c>
    </row>
    <row r="897" spans="1:18" s="1" customFormat="1" ht="25.5" x14ac:dyDescent="0.2">
      <c r="A897" s="45" t="s">
        <v>2678</v>
      </c>
      <c r="B897" s="45">
        <v>34011</v>
      </c>
      <c r="C897" s="50" t="s">
        <v>407</v>
      </c>
      <c r="D897" s="50" t="s">
        <v>2679</v>
      </c>
      <c r="E897" s="80" t="s">
        <v>2639</v>
      </c>
      <c r="F897" s="50" t="s">
        <v>94</v>
      </c>
      <c r="G897" s="50" t="s">
        <v>2680</v>
      </c>
      <c r="H897" s="88">
        <v>4932</v>
      </c>
      <c r="I897" s="100"/>
      <c r="J897" s="99"/>
      <c r="K897" s="99"/>
      <c r="L897" s="89">
        <f t="shared" si="26"/>
        <v>4932</v>
      </c>
      <c r="M897" s="87">
        <f t="shared" si="27"/>
        <v>4932</v>
      </c>
      <c r="N897" s="99"/>
      <c r="O897" s="99"/>
      <c r="P897" s="48">
        <v>41177</v>
      </c>
      <c r="Q897" s="48">
        <v>41389</v>
      </c>
      <c r="R897" s="49">
        <v>11318</v>
      </c>
    </row>
    <row r="898" spans="1:18" s="1" customFormat="1" ht="25.5" x14ac:dyDescent="0.2">
      <c r="A898" s="45" t="s">
        <v>2681</v>
      </c>
      <c r="B898" s="45">
        <v>34386</v>
      </c>
      <c r="C898" s="50" t="s">
        <v>407</v>
      </c>
      <c r="D898" s="50" t="s">
        <v>571</v>
      </c>
      <c r="E898" s="80" t="s">
        <v>2639</v>
      </c>
      <c r="F898" s="81" t="s">
        <v>98</v>
      </c>
      <c r="G898" s="50" t="s">
        <v>2682</v>
      </c>
      <c r="H898" s="88">
        <v>3340</v>
      </c>
      <c r="I898" s="100"/>
      <c r="J898" s="99"/>
      <c r="K898" s="99"/>
      <c r="L898" s="89">
        <f t="shared" si="26"/>
        <v>3340</v>
      </c>
      <c r="M898" s="87">
        <f t="shared" si="27"/>
        <v>3340</v>
      </c>
      <c r="N898" s="99"/>
      <c r="O898" s="99"/>
      <c r="P898" s="48">
        <v>41177</v>
      </c>
      <c r="Q898" s="48">
        <v>41358</v>
      </c>
      <c r="R898" s="49">
        <v>11319</v>
      </c>
    </row>
    <row r="899" spans="1:18" s="1" customFormat="1" ht="51" x14ac:dyDescent="0.2">
      <c r="A899" s="45" t="s">
        <v>2683</v>
      </c>
      <c r="B899" s="45">
        <v>33529</v>
      </c>
      <c r="C899" s="50" t="s">
        <v>407</v>
      </c>
      <c r="D899" s="50" t="s">
        <v>2684</v>
      </c>
      <c r="E899" s="80" t="s">
        <v>2639</v>
      </c>
      <c r="F899" s="50" t="s">
        <v>22</v>
      </c>
      <c r="G899" s="50" t="s">
        <v>2685</v>
      </c>
      <c r="H899" s="88">
        <v>3627</v>
      </c>
      <c r="I899" s="100"/>
      <c r="J899" s="99"/>
      <c r="K899" s="99"/>
      <c r="L899" s="89">
        <f t="shared" si="26"/>
        <v>3627</v>
      </c>
      <c r="M899" s="87">
        <f t="shared" si="27"/>
        <v>3627</v>
      </c>
      <c r="N899" s="99"/>
      <c r="O899" s="99"/>
      <c r="P899" s="48">
        <v>41177</v>
      </c>
      <c r="Q899" s="48">
        <v>41358</v>
      </c>
      <c r="R899" s="49">
        <v>11317</v>
      </c>
    </row>
    <row r="900" spans="1:18" s="1" customFormat="1" ht="38.25" x14ac:dyDescent="0.2">
      <c r="A900" s="45" t="s">
        <v>2686</v>
      </c>
      <c r="B900" s="45">
        <v>33917</v>
      </c>
      <c r="C900" s="50" t="s">
        <v>407</v>
      </c>
      <c r="D900" s="50" t="s">
        <v>2687</v>
      </c>
      <c r="E900" s="80" t="s">
        <v>2639</v>
      </c>
      <c r="F900" s="50" t="s">
        <v>94</v>
      </c>
      <c r="G900" s="50" t="s">
        <v>2688</v>
      </c>
      <c r="H900" s="88">
        <v>3695</v>
      </c>
      <c r="I900" s="100"/>
      <c r="J900" s="99"/>
      <c r="K900" s="99"/>
      <c r="L900" s="89">
        <f t="shared" si="26"/>
        <v>3695</v>
      </c>
      <c r="M900" s="87">
        <f t="shared" si="27"/>
        <v>3695</v>
      </c>
      <c r="N900" s="99"/>
      <c r="O900" s="99"/>
      <c r="P900" s="48">
        <v>41177</v>
      </c>
      <c r="Q900" s="48">
        <v>41358</v>
      </c>
      <c r="R900" s="49">
        <v>11316</v>
      </c>
    </row>
    <row r="901" spans="1:18" s="1" customFormat="1" ht="38.25" x14ac:dyDescent="0.2">
      <c r="A901" s="45" t="s">
        <v>2689</v>
      </c>
      <c r="B901" s="45">
        <v>34344</v>
      </c>
      <c r="C901" s="50" t="s">
        <v>2690</v>
      </c>
      <c r="D901" s="50" t="s">
        <v>2691</v>
      </c>
      <c r="E901" s="80" t="s">
        <v>2639</v>
      </c>
      <c r="F901" s="81" t="s">
        <v>98</v>
      </c>
      <c r="G901" s="50" t="s">
        <v>2692</v>
      </c>
      <c r="H901" s="88">
        <v>1272</v>
      </c>
      <c r="I901" s="100"/>
      <c r="J901" s="99"/>
      <c r="K901" s="99"/>
      <c r="L901" s="89">
        <f t="shared" si="26"/>
        <v>1272</v>
      </c>
      <c r="M901" s="87">
        <f t="shared" si="27"/>
        <v>1272</v>
      </c>
      <c r="N901" s="99"/>
      <c r="O901" s="99"/>
      <c r="P901" s="48">
        <v>41183</v>
      </c>
      <c r="Q901" s="48">
        <v>41365</v>
      </c>
      <c r="R901" s="49">
        <v>11338</v>
      </c>
    </row>
    <row r="902" spans="1:18" s="1" customFormat="1" ht="38.25" x14ac:dyDescent="0.2">
      <c r="A902" s="45" t="s">
        <v>2693</v>
      </c>
      <c r="B902" s="45">
        <v>34321</v>
      </c>
      <c r="C902" s="50" t="s">
        <v>2690</v>
      </c>
      <c r="D902" s="50" t="s">
        <v>2694</v>
      </c>
      <c r="E902" s="80" t="s">
        <v>2639</v>
      </c>
      <c r="F902" s="81" t="s">
        <v>98</v>
      </c>
      <c r="G902" s="50" t="s">
        <v>2695</v>
      </c>
      <c r="H902" s="88">
        <v>2950</v>
      </c>
      <c r="I902" s="100"/>
      <c r="J902" s="99"/>
      <c r="K902" s="99"/>
      <c r="L902" s="89">
        <f t="shared" si="26"/>
        <v>2950</v>
      </c>
      <c r="M902" s="87">
        <f t="shared" si="27"/>
        <v>2950</v>
      </c>
      <c r="N902" s="99"/>
      <c r="O902" s="99"/>
      <c r="P902" s="48">
        <v>41176</v>
      </c>
      <c r="Q902" s="48">
        <v>41357</v>
      </c>
      <c r="R902" s="49">
        <v>11297</v>
      </c>
    </row>
    <row r="903" spans="1:18" s="1" customFormat="1" ht="25.5" x14ac:dyDescent="0.2">
      <c r="A903" s="45" t="s">
        <v>2696</v>
      </c>
      <c r="B903" s="45">
        <v>34352</v>
      </c>
      <c r="C903" s="50" t="s">
        <v>35</v>
      </c>
      <c r="D903" s="50" t="s">
        <v>2697</v>
      </c>
      <c r="E903" s="80" t="s">
        <v>2639</v>
      </c>
      <c r="F903" s="81" t="s">
        <v>87</v>
      </c>
      <c r="G903" s="50" t="s">
        <v>2698</v>
      </c>
      <c r="H903" s="88">
        <v>4990</v>
      </c>
      <c r="I903" s="100"/>
      <c r="J903" s="99"/>
      <c r="K903" s="99"/>
      <c r="L903" s="89">
        <f t="shared" ref="L903:L966" si="28">H903+I903+J903+K903</f>
        <v>4990</v>
      </c>
      <c r="M903" s="87">
        <f t="shared" ref="M903:M966" si="29">SUM(L903)</f>
        <v>4990</v>
      </c>
      <c r="N903" s="99"/>
      <c r="O903" s="99"/>
      <c r="P903" s="48">
        <v>41179</v>
      </c>
      <c r="Q903" s="48">
        <v>41360</v>
      </c>
      <c r="R903" s="49">
        <v>11299</v>
      </c>
    </row>
    <row r="904" spans="1:18" s="1" customFormat="1" ht="38.25" x14ac:dyDescent="0.2">
      <c r="A904" s="45" t="s">
        <v>2699</v>
      </c>
      <c r="B904" s="45">
        <v>33886</v>
      </c>
      <c r="C904" s="50" t="s">
        <v>369</v>
      </c>
      <c r="D904" s="50" t="s">
        <v>1193</v>
      </c>
      <c r="E904" s="80" t="s">
        <v>2639</v>
      </c>
      <c r="F904" s="81" t="s">
        <v>87</v>
      </c>
      <c r="G904" s="50" t="s">
        <v>2700</v>
      </c>
      <c r="H904" s="88">
        <v>4400</v>
      </c>
      <c r="I904" s="100"/>
      <c r="J904" s="99"/>
      <c r="K904" s="99"/>
      <c r="L904" s="89">
        <f t="shared" si="28"/>
        <v>4400</v>
      </c>
      <c r="M904" s="87">
        <f t="shared" si="29"/>
        <v>4400</v>
      </c>
      <c r="N904" s="99"/>
      <c r="O904" s="99"/>
      <c r="P904" s="48">
        <v>41177</v>
      </c>
      <c r="Q904" s="48">
        <v>41358</v>
      </c>
      <c r="R904" s="49">
        <v>11253</v>
      </c>
    </row>
    <row r="905" spans="1:18" s="1" customFormat="1" ht="25.5" x14ac:dyDescent="0.2">
      <c r="A905" s="45" t="s">
        <v>2701</v>
      </c>
      <c r="B905" s="45">
        <v>34370</v>
      </c>
      <c r="C905" s="50" t="s">
        <v>574</v>
      </c>
      <c r="D905" s="50" t="s">
        <v>2702</v>
      </c>
      <c r="E905" s="80" t="s">
        <v>2639</v>
      </c>
      <c r="F905" s="50" t="s">
        <v>45</v>
      </c>
      <c r="G905" s="50" t="s">
        <v>2703</v>
      </c>
      <c r="H905" s="88">
        <v>5000</v>
      </c>
      <c r="I905" s="100"/>
      <c r="J905" s="99"/>
      <c r="K905" s="99"/>
      <c r="L905" s="89">
        <f t="shared" si="28"/>
        <v>5000</v>
      </c>
      <c r="M905" s="87">
        <f t="shared" si="29"/>
        <v>5000</v>
      </c>
      <c r="N905" s="99"/>
      <c r="O905" s="99"/>
      <c r="P905" s="48">
        <v>41177</v>
      </c>
      <c r="Q905" s="48">
        <v>41358</v>
      </c>
      <c r="R905" s="49">
        <v>11307</v>
      </c>
    </row>
    <row r="906" spans="1:18" s="1" customFormat="1" ht="25.5" x14ac:dyDescent="0.2">
      <c r="A906" s="45" t="s">
        <v>2704</v>
      </c>
      <c r="B906" s="45">
        <v>34374</v>
      </c>
      <c r="C906" s="50" t="s">
        <v>574</v>
      </c>
      <c r="D906" s="50" t="s">
        <v>2705</v>
      </c>
      <c r="E906" s="80" t="s">
        <v>2639</v>
      </c>
      <c r="F906" s="50" t="s">
        <v>45</v>
      </c>
      <c r="G906" s="50" t="s">
        <v>2706</v>
      </c>
      <c r="H906" s="88">
        <v>3000</v>
      </c>
      <c r="I906" s="100"/>
      <c r="J906" s="99"/>
      <c r="K906" s="99"/>
      <c r="L906" s="89">
        <f t="shared" si="28"/>
        <v>3000</v>
      </c>
      <c r="M906" s="87">
        <f t="shared" si="29"/>
        <v>3000</v>
      </c>
      <c r="N906" s="99"/>
      <c r="O906" s="99"/>
      <c r="P906" s="48">
        <v>41183</v>
      </c>
      <c r="Q906" s="48">
        <v>41365</v>
      </c>
      <c r="R906" s="49">
        <v>11308</v>
      </c>
    </row>
    <row r="907" spans="1:18" s="1" customFormat="1" ht="25.5" x14ac:dyDescent="0.2">
      <c r="A907" s="45" t="s">
        <v>2707</v>
      </c>
      <c r="B907" s="45">
        <v>34327</v>
      </c>
      <c r="C907" s="50" t="s">
        <v>390</v>
      </c>
      <c r="D907" s="50" t="s">
        <v>2708</v>
      </c>
      <c r="E907" s="80" t="s">
        <v>2639</v>
      </c>
      <c r="F907" s="81" t="s">
        <v>98</v>
      </c>
      <c r="G907" s="50" t="s">
        <v>2709</v>
      </c>
      <c r="H907" s="88">
        <v>1870</v>
      </c>
      <c r="I907" s="100"/>
      <c r="J907" s="99"/>
      <c r="K907" s="99"/>
      <c r="L907" s="89">
        <f t="shared" si="28"/>
        <v>1870</v>
      </c>
      <c r="M907" s="87">
        <f t="shared" si="29"/>
        <v>1870</v>
      </c>
      <c r="N907" s="99"/>
      <c r="O907" s="99"/>
      <c r="P907" s="48">
        <v>41176</v>
      </c>
      <c r="Q907" s="48">
        <v>41357</v>
      </c>
      <c r="R907" s="49">
        <v>11315</v>
      </c>
    </row>
    <row r="908" spans="1:18" s="1" customFormat="1" ht="38.25" x14ac:dyDescent="0.2">
      <c r="A908" s="45" t="s">
        <v>2710</v>
      </c>
      <c r="B908" s="45">
        <v>33769</v>
      </c>
      <c r="C908" s="50" t="s">
        <v>107</v>
      </c>
      <c r="D908" s="50" t="s">
        <v>2711</v>
      </c>
      <c r="E908" s="80" t="s">
        <v>2639</v>
      </c>
      <c r="F908" s="81" t="s">
        <v>98</v>
      </c>
      <c r="G908" s="50" t="s">
        <v>2712</v>
      </c>
      <c r="H908" s="88">
        <v>4100</v>
      </c>
      <c r="I908" s="100"/>
      <c r="J908" s="99"/>
      <c r="K908" s="99"/>
      <c r="L908" s="89">
        <f t="shared" si="28"/>
        <v>4100</v>
      </c>
      <c r="M908" s="87">
        <f t="shared" si="29"/>
        <v>4100</v>
      </c>
      <c r="N908" s="99"/>
      <c r="O908" s="99"/>
      <c r="P908" s="48">
        <v>41169</v>
      </c>
      <c r="Q908" s="48">
        <v>41350</v>
      </c>
      <c r="R908" s="49">
        <v>11252</v>
      </c>
    </row>
    <row r="909" spans="1:18" s="1" customFormat="1" ht="25.5" x14ac:dyDescent="0.2">
      <c r="A909" s="45" t="s">
        <v>2713</v>
      </c>
      <c r="B909" s="45">
        <v>33728</v>
      </c>
      <c r="C909" s="50" t="s">
        <v>432</v>
      </c>
      <c r="D909" s="50" t="s">
        <v>2714</v>
      </c>
      <c r="E909" s="80" t="s">
        <v>2639</v>
      </c>
      <c r="F909" s="81" t="s">
        <v>98</v>
      </c>
      <c r="G909" s="50" t="s">
        <v>2715</v>
      </c>
      <c r="H909" s="88">
        <v>4000</v>
      </c>
      <c r="I909" s="88"/>
      <c r="J909" s="89"/>
      <c r="K909" s="89"/>
      <c r="L909" s="89">
        <f t="shared" si="28"/>
        <v>4000</v>
      </c>
      <c r="M909" s="87">
        <f t="shared" si="29"/>
        <v>4000</v>
      </c>
      <c r="N909" s="99"/>
      <c r="O909" s="99"/>
      <c r="P909" s="48">
        <v>41178</v>
      </c>
      <c r="Q909" s="48">
        <v>41359</v>
      </c>
      <c r="R909" s="49">
        <v>11282</v>
      </c>
    </row>
    <row r="910" spans="1:18" s="1" customFormat="1" ht="38.25" x14ac:dyDescent="0.2">
      <c r="A910" s="45" t="s">
        <v>2716</v>
      </c>
      <c r="B910" s="57">
        <v>25251</v>
      </c>
      <c r="C910" s="60" t="s">
        <v>2608</v>
      </c>
      <c r="D910" s="60" t="s">
        <v>2717</v>
      </c>
      <c r="E910" s="50" t="s">
        <v>2360</v>
      </c>
      <c r="F910" s="50" t="s">
        <v>167</v>
      </c>
      <c r="G910" s="60" t="s">
        <v>2718</v>
      </c>
      <c r="H910" s="99"/>
      <c r="I910" s="100">
        <v>15000</v>
      </c>
      <c r="J910" s="99"/>
      <c r="K910" s="99"/>
      <c r="L910" s="89">
        <f t="shared" si="28"/>
        <v>15000</v>
      </c>
      <c r="M910" s="87">
        <f t="shared" si="29"/>
        <v>15000</v>
      </c>
      <c r="N910" s="99"/>
      <c r="O910" s="99"/>
      <c r="P910" s="48">
        <v>41166</v>
      </c>
      <c r="Q910" s="48">
        <v>41531</v>
      </c>
      <c r="R910" s="49">
        <v>11251</v>
      </c>
    </row>
    <row r="911" spans="1:18" s="1" customFormat="1" ht="51" x14ac:dyDescent="0.2">
      <c r="A911" s="45" t="s">
        <v>2719</v>
      </c>
      <c r="B911" s="57">
        <v>18659</v>
      </c>
      <c r="C911" s="60" t="s">
        <v>2608</v>
      </c>
      <c r="D911" s="60" t="s">
        <v>2720</v>
      </c>
      <c r="E911" s="50" t="s">
        <v>2360</v>
      </c>
      <c r="F911" s="50" t="s">
        <v>167</v>
      </c>
      <c r="G911" s="60" t="s">
        <v>2721</v>
      </c>
      <c r="H911" s="99"/>
      <c r="I911" s="100">
        <v>15000</v>
      </c>
      <c r="J911" s="99"/>
      <c r="K911" s="99"/>
      <c r="L911" s="89">
        <f t="shared" si="28"/>
        <v>15000</v>
      </c>
      <c r="M911" s="87">
        <f t="shared" si="29"/>
        <v>15000</v>
      </c>
      <c r="N911" s="99"/>
      <c r="O911" s="99"/>
      <c r="P911" s="48">
        <v>41166</v>
      </c>
      <c r="Q911" s="48">
        <v>41531</v>
      </c>
      <c r="R911" s="49">
        <v>11248</v>
      </c>
    </row>
    <row r="912" spans="1:18" s="1" customFormat="1" ht="38.25" x14ac:dyDescent="0.2">
      <c r="A912" s="45" t="s">
        <v>2722</v>
      </c>
      <c r="B912" s="57">
        <v>23693</v>
      </c>
      <c r="C912" s="60" t="s">
        <v>2608</v>
      </c>
      <c r="D912" s="60" t="s">
        <v>2723</v>
      </c>
      <c r="E912" s="50" t="s">
        <v>2360</v>
      </c>
      <c r="F912" s="50" t="s">
        <v>167</v>
      </c>
      <c r="G912" s="60" t="s">
        <v>2724</v>
      </c>
      <c r="H912" s="99"/>
      <c r="I912" s="100">
        <v>15000</v>
      </c>
      <c r="J912" s="99"/>
      <c r="K912" s="99"/>
      <c r="L912" s="89">
        <f t="shared" si="28"/>
        <v>15000</v>
      </c>
      <c r="M912" s="87">
        <f t="shared" si="29"/>
        <v>15000</v>
      </c>
      <c r="N912" s="99"/>
      <c r="O912" s="99"/>
      <c r="P912" s="48">
        <v>41166</v>
      </c>
      <c r="Q912" s="48">
        <v>41531</v>
      </c>
      <c r="R912" s="49">
        <v>11226</v>
      </c>
    </row>
    <row r="913" spans="1:18" s="1" customFormat="1" ht="153" x14ac:dyDescent="0.2">
      <c r="A913" s="45" t="s">
        <v>2725</v>
      </c>
      <c r="B913" s="57">
        <v>24631</v>
      </c>
      <c r="C913" s="60" t="s">
        <v>2608</v>
      </c>
      <c r="D913" s="60" t="s">
        <v>678</v>
      </c>
      <c r="E913" s="50" t="s">
        <v>2360</v>
      </c>
      <c r="F913" s="50" t="s">
        <v>398</v>
      </c>
      <c r="G913" s="60" t="s">
        <v>2726</v>
      </c>
      <c r="H913" s="99"/>
      <c r="I913" s="100">
        <v>15000</v>
      </c>
      <c r="J913" s="99"/>
      <c r="K913" s="99"/>
      <c r="L913" s="89">
        <f t="shared" si="28"/>
        <v>15000</v>
      </c>
      <c r="M913" s="87">
        <f t="shared" si="29"/>
        <v>15000</v>
      </c>
      <c r="N913" s="99"/>
      <c r="O913" s="99"/>
      <c r="P913" s="48">
        <v>41138</v>
      </c>
      <c r="Q913" s="48">
        <v>41503</v>
      </c>
      <c r="R913" s="49">
        <v>11228</v>
      </c>
    </row>
    <row r="914" spans="1:18" s="1" customFormat="1" ht="25.5" x14ac:dyDescent="0.2">
      <c r="A914" s="45" t="s">
        <v>2727</v>
      </c>
      <c r="B914" s="57">
        <v>24391</v>
      </c>
      <c r="C914" s="60" t="s">
        <v>2608</v>
      </c>
      <c r="D914" s="60" t="s">
        <v>2728</v>
      </c>
      <c r="E914" s="50" t="s">
        <v>2360</v>
      </c>
      <c r="F914" s="50" t="s">
        <v>167</v>
      </c>
      <c r="G914" s="60" t="s">
        <v>2729</v>
      </c>
      <c r="H914" s="99"/>
      <c r="I914" s="100">
        <v>15000</v>
      </c>
      <c r="J914" s="99"/>
      <c r="K914" s="99"/>
      <c r="L914" s="89">
        <f t="shared" si="28"/>
        <v>15000</v>
      </c>
      <c r="M914" s="87">
        <f t="shared" si="29"/>
        <v>15000</v>
      </c>
      <c r="N914" s="99"/>
      <c r="O914" s="99"/>
      <c r="P914" s="48">
        <v>41173</v>
      </c>
      <c r="Q914" s="48">
        <v>41538</v>
      </c>
      <c r="R914" s="49">
        <v>11224</v>
      </c>
    </row>
    <row r="915" spans="1:18" s="1" customFormat="1" ht="63.75" x14ac:dyDescent="0.2">
      <c r="A915" s="45" t="s">
        <v>2730</v>
      </c>
      <c r="B915" s="57">
        <v>24483</v>
      </c>
      <c r="C915" s="60" t="s">
        <v>2608</v>
      </c>
      <c r="D915" s="60" t="s">
        <v>2731</v>
      </c>
      <c r="E915" s="50" t="s">
        <v>2360</v>
      </c>
      <c r="F915" s="50" t="s">
        <v>45</v>
      </c>
      <c r="G915" s="60" t="s">
        <v>2732</v>
      </c>
      <c r="H915" s="99"/>
      <c r="I915" s="100">
        <v>15000</v>
      </c>
      <c r="J915" s="99"/>
      <c r="K915" s="99"/>
      <c r="L915" s="89">
        <f t="shared" si="28"/>
        <v>15000</v>
      </c>
      <c r="M915" s="87">
        <f t="shared" si="29"/>
        <v>15000</v>
      </c>
      <c r="N915" s="99"/>
      <c r="O915" s="99"/>
      <c r="P915" s="48">
        <v>41173</v>
      </c>
      <c r="Q915" s="48">
        <v>41538</v>
      </c>
      <c r="R915" s="49">
        <v>11223</v>
      </c>
    </row>
    <row r="916" spans="1:18" s="1" customFormat="1" ht="76.5" x14ac:dyDescent="0.2">
      <c r="A916" s="45" t="s">
        <v>2733</v>
      </c>
      <c r="B916" s="57">
        <v>20611</v>
      </c>
      <c r="C916" s="60" t="s">
        <v>2608</v>
      </c>
      <c r="D916" s="60" t="s">
        <v>2734</v>
      </c>
      <c r="E916" s="50" t="s">
        <v>2360</v>
      </c>
      <c r="F916" s="50" t="s">
        <v>167</v>
      </c>
      <c r="G916" s="60" t="s">
        <v>2735</v>
      </c>
      <c r="H916" s="99"/>
      <c r="I916" s="100">
        <v>15000</v>
      </c>
      <c r="J916" s="99"/>
      <c r="K916" s="99"/>
      <c r="L916" s="89">
        <f t="shared" si="28"/>
        <v>15000</v>
      </c>
      <c r="M916" s="87">
        <f t="shared" si="29"/>
        <v>15000</v>
      </c>
      <c r="N916" s="99"/>
      <c r="O916" s="99"/>
      <c r="P916" s="48">
        <v>41173</v>
      </c>
      <c r="Q916" s="48">
        <v>41538</v>
      </c>
      <c r="R916" s="49">
        <v>11218</v>
      </c>
    </row>
    <row r="917" spans="1:18" s="1" customFormat="1" ht="38.25" x14ac:dyDescent="0.2">
      <c r="A917" s="45" t="s">
        <v>2736</v>
      </c>
      <c r="B917" s="57">
        <v>25086</v>
      </c>
      <c r="C917" s="60" t="s">
        <v>2608</v>
      </c>
      <c r="D917" s="60" t="s">
        <v>717</v>
      </c>
      <c r="E917" s="50" t="s">
        <v>2360</v>
      </c>
      <c r="F917" s="50" t="s">
        <v>167</v>
      </c>
      <c r="G917" s="60" t="s">
        <v>2737</v>
      </c>
      <c r="H917" s="99"/>
      <c r="I917" s="100">
        <v>15000</v>
      </c>
      <c r="J917" s="99"/>
      <c r="K917" s="99"/>
      <c r="L917" s="89">
        <f t="shared" si="28"/>
        <v>15000</v>
      </c>
      <c r="M917" s="87">
        <f t="shared" si="29"/>
        <v>15000</v>
      </c>
      <c r="N917" s="99"/>
      <c r="O917" s="99"/>
      <c r="P917" s="48">
        <v>41173</v>
      </c>
      <c r="Q917" s="48">
        <v>41538</v>
      </c>
      <c r="R917" s="49">
        <v>11217</v>
      </c>
    </row>
    <row r="918" spans="1:18" s="1" customFormat="1" ht="89.25" x14ac:dyDescent="0.2">
      <c r="A918" s="45" t="s">
        <v>2738</v>
      </c>
      <c r="B918" s="57">
        <v>25233</v>
      </c>
      <c r="C918" s="60" t="s">
        <v>2608</v>
      </c>
      <c r="D918" s="60" t="s">
        <v>2739</v>
      </c>
      <c r="E918" s="50" t="s">
        <v>2360</v>
      </c>
      <c r="F918" s="50" t="s">
        <v>167</v>
      </c>
      <c r="G918" s="60" t="s">
        <v>2740</v>
      </c>
      <c r="H918" s="99"/>
      <c r="I918" s="100">
        <v>15000</v>
      </c>
      <c r="J918" s="99"/>
      <c r="K918" s="99"/>
      <c r="L918" s="89">
        <f t="shared" si="28"/>
        <v>15000</v>
      </c>
      <c r="M918" s="87">
        <f t="shared" si="29"/>
        <v>15000</v>
      </c>
      <c r="N918" s="99"/>
      <c r="O918" s="99"/>
      <c r="P918" s="48">
        <v>41173</v>
      </c>
      <c r="Q918" s="48">
        <v>41538</v>
      </c>
      <c r="R918" s="49">
        <v>11214</v>
      </c>
    </row>
    <row r="919" spans="1:18" s="1" customFormat="1" ht="38.25" x14ac:dyDescent="0.2">
      <c r="A919" s="45" t="s">
        <v>2741</v>
      </c>
      <c r="B919" s="57">
        <v>20388</v>
      </c>
      <c r="C919" s="60" t="s">
        <v>19</v>
      </c>
      <c r="D919" s="60" t="s">
        <v>2742</v>
      </c>
      <c r="E919" s="50" t="s">
        <v>2360</v>
      </c>
      <c r="F919" s="50" t="s">
        <v>87</v>
      </c>
      <c r="G919" s="60" t="s">
        <v>2743</v>
      </c>
      <c r="H919" s="99"/>
      <c r="I919" s="100">
        <v>15000</v>
      </c>
      <c r="J919" s="99"/>
      <c r="K919" s="99"/>
      <c r="L919" s="89">
        <f t="shared" si="28"/>
        <v>15000</v>
      </c>
      <c r="M919" s="87">
        <f t="shared" si="29"/>
        <v>15000</v>
      </c>
      <c r="N919" s="99"/>
      <c r="O919" s="99"/>
      <c r="P919" s="48">
        <v>41183</v>
      </c>
      <c r="Q919" s="48">
        <v>41548</v>
      </c>
      <c r="R919" s="49">
        <v>11685</v>
      </c>
    </row>
    <row r="920" spans="1:18" s="1" customFormat="1" ht="114.75" x14ac:dyDescent="0.2">
      <c r="A920" s="45" t="s">
        <v>2744</v>
      </c>
      <c r="B920" s="57">
        <v>24221</v>
      </c>
      <c r="C920" s="60" t="s">
        <v>19</v>
      </c>
      <c r="D920" s="60" t="s">
        <v>2745</v>
      </c>
      <c r="E920" s="50" t="s">
        <v>2360</v>
      </c>
      <c r="F920" s="50" t="s">
        <v>109</v>
      </c>
      <c r="G920" s="60" t="s">
        <v>2746</v>
      </c>
      <c r="H920" s="99"/>
      <c r="I920" s="100">
        <v>15000</v>
      </c>
      <c r="J920" s="99"/>
      <c r="K920" s="99"/>
      <c r="L920" s="89">
        <f t="shared" si="28"/>
        <v>15000</v>
      </c>
      <c r="M920" s="87">
        <f t="shared" si="29"/>
        <v>15000</v>
      </c>
      <c r="N920" s="99"/>
      <c r="O920" s="99"/>
      <c r="P920" s="48">
        <v>41183</v>
      </c>
      <c r="Q920" s="48">
        <v>41548</v>
      </c>
      <c r="R920" s="49">
        <v>11448</v>
      </c>
    </row>
    <row r="921" spans="1:18" s="1" customFormat="1" ht="38.25" x14ac:dyDescent="0.2">
      <c r="A921" s="45" t="s">
        <v>2747</v>
      </c>
      <c r="B921" s="57">
        <v>24906</v>
      </c>
      <c r="C921" s="60" t="s">
        <v>19</v>
      </c>
      <c r="D921" s="60" t="s">
        <v>2748</v>
      </c>
      <c r="E921" s="50" t="s">
        <v>2360</v>
      </c>
      <c r="F921" s="50" t="s">
        <v>22</v>
      </c>
      <c r="G921" s="60" t="s">
        <v>2749</v>
      </c>
      <c r="H921" s="99"/>
      <c r="I921" s="100">
        <v>15000</v>
      </c>
      <c r="J921" s="99"/>
      <c r="K921" s="99"/>
      <c r="L921" s="89">
        <f t="shared" si="28"/>
        <v>15000</v>
      </c>
      <c r="M921" s="87">
        <f t="shared" si="29"/>
        <v>15000</v>
      </c>
      <c r="N921" s="99"/>
      <c r="O921" s="99"/>
      <c r="P921" s="48">
        <v>41183</v>
      </c>
      <c r="Q921" s="48">
        <v>41548</v>
      </c>
      <c r="R921" s="49">
        <v>11691</v>
      </c>
    </row>
    <row r="922" spans="1:18" s="1" customFormat="1" ht="114.75" x14ac:dyDescent="0.2">
      <c r="A922" s="45" t="s">
        <v>2750</v>
      </c>
      <c r="B922" s="57">
        <v>24772</v>
      </c>
      <c r="C922" s="60" t="s">
        <v>19</v>
      </c>
      <c r="D922" s="60" t="s">
        <v>2751</v>
      </c>
      <c r="E922" s="50" t="s">
        <v>2360</v>
      </c>
      <c r="F922" s="50" t="s">
        <v>109</v>
      </c>
      <c r="G922" s="60" t="s">
        <v>2752</v>
      </c>
      <c r="H922" s="99"/>
      <c r="I922" s="100">
        <v>15000</v>
      </c>
      <c r="J922" s="99"/>
      <c r="K922" s="99"/>
      <c r="L922" s="89">
        <f t="shared" si="28"/>
        <v>15000</v>
      </c>
      <c r="M922" s="87">
        <f t="shared" si="29"/>
        <v>15000</v>
      </c>
      <c r="N922" s="99"/>
      <c r="O922" s="99"/>
      <c r="P922" s="48">
        <v>41183</v>
      </c>
      <c r="Q922" s="48">
        <v>41548</v>
      </c>
      <c r="R922" s="49">
        <v>11737</v>
      </c>
    </row>
    <row r="923" spans="1:18" s="1" customFormat="1" ht="38.25" x14ac:dyDescent="0.2">
      <c r="A923" s="45" t="s">
        <v>2753</v>
      </c>
      <c r="B923" s="57">
        <v>25005</v>
      </c>
      <c r="C923" s="60" t="s">
        <v>19</v>
      </c>
      <c r="D923" s="60" t="s">
        <v>2754</v>
      </c>
      <c r="E923" s="50" t="s">
        <v>2360</v>
      </c>
      <c r="F923" s="50" t="s">
        <v>22</v>
      </c>
      <c r="G923" s="60" t="s">
        <v>2755</v>
      </c>
      <c r="H923" s="99"/>
      <c r="I923" s="100">
        <v>15000</v>
      </c>
      <c r="J923" s="99"/>
      <c r="K923" s="99"/>
      <c r="L923" s="89">
        <f t="shared" si="28"/>
        <v>15000</v>
      </c>
      <c r="M923" s="87">
        <f t="shared" si="29"/>
        <v>15000</v>
      </c>
      <c r="N923" s="99"/>
      <c r="O923" s="99"/>
      <c r="P923" s="48">
        <v>41183</v>
      </c>
      <c r="Q923" s="48">
        <v>41548</v>
      </c>
      <c r="R923" s="49">
        <v>11676</v>
      </c>
    </row>
    <row r="924" spans="1:18" s="1" customFormat="1" ht="38.25" x14ac:dyDescent="0.2">
      <c r="A924" s="45" t="s">
        <v>2756</v>
      </c>
      <c r="B924" s="57">
        <v>25016</v>
      </c>
      <c r="C924" s="60" t="s">
        <v>19</v>
      </c>
      <c r="D924" s="60" t="s">
        <v>1439</v>
      </c>
      <c r="E924" s="50" t="s">
        <v>2360</v>
      </c>
      <c r="F924" s="50" t="s">
        <v>22</v>
      </c>
      <c r="G924" s="60" t="s">
        <v>2757</v>
      </c>
      <c r="H924" s="99"/>
      <c r="I924" s="100">
        <v>15000</v>
      </c>
      <c r="J924" s="99"/>
      <c r="K924" s="99"/>
      <c r="L924" s="89">
        <f t="shared" si="28"/>
        <v>15000</v>
      </c>
      <c r="M924" s="87">
        <f t="shared" si="29"/>
        <v>15000</v>
      </c>
      <c r="N924" s="99"/>
      <c r="O924" s="99"/>
      <c r="P924" s="48">
        <v>41183</v>
      </c>
      <c r="Q924" s="48">
        <v>41548</v>
      </c>
      <c r="R924" s="49">
        <v>11693</v>
      </c>
    </row>
    <row r="925" spans="1:18" s="1" customFormat="1" ht="38.25" x14ac:dyDescent="0.2">
      <c r="A925" s="45" t="s">
        <v>2758</v>
      </c>
      <c r="B925" s="57">
        <v>20392</v>
      </c>
      <c r="C925" s="60" t="s">
        <v>19</v>
      </c>
      <c r="D925" s="60" t="s">
        <v>2759</v>
      </c>
      <c r="E925" s="50" t="s">
        <v>2360</v>
      </c>
      <c r="F925" s="50" t="s">
        <v>22</v>
      </c>
      <c r="G925" s="60" t="s">
        <v>2760</v>
      </c>
      <c r="H925" s="99"/>
      <c r="I925" s="100">
        <v>15000</v>
      </c>
      <c r="J925" s="99"/>
      <c r="K925" s="99"/>
      <c r="L925" s="89">
        <f t="shared" si="28"/>
        <v>15000</v>
      </c>
      <c r="M925" s="87">
        <f t="shared" si="29"/>
        <v>15000</v>
      </c>
      <c r="N925" s="99"/>
      <c r="O925" s="99"/>
      <c r="P925" s="48">
        <v>41183</v>
      </c>
      <c r="Q925" s="48">
        <v>41548</v>
      </c>
      <c r="R925" s="49">
        <v>11733</v>
      </c>
    </row>
    <row r="926" spans="1:18" s="1" customFormat="1" ht="38.25" x14ac:dyDescent="0.2">
      <c r="A926" s="45" t="s">
        <v>2761</v>
      </c>
      <c r="B926" s="57">
        <v>25116</v>
      </c>
      <c r="C926" s="60" t="s">
        <v>19</v>
      </c>
      <c r="D926" s="60" t="s">
        <v>890</v>
      </c>
      <c r="E926" s="50" t="s">
        <v>2360</v>
      </c>
      <c r="F926" s="50" t="s">
        <v>45</v>
      </c>
      <c r="G926" s="60" t="s">
        <v>2762</v>
      </c>
      <c r="H926" s="99"/>
      <c r="I926" s="100">
        <v>15000</v>
      </c>
      <c r="J926" s="99"/>
      <c r="K926" s="99"/>
      <c r="L926" s="89">
        <f t="shared" si="28"/>
        <v>15000</v>
      </c>
      <c r="M926" s="87">
        <f t="shared" si="29"/>
        <v>15000</v>
      </c>
      <c r="N926" s="99"/>
      <c r="O926" s="99"/>
      <c r="P926" s="48">
        <v>41183</v>
      </c>
      <c r="Q926" s="48">
        <v>41548</v>
      </c>
      <c r="R926" s="49">
        <v>11681</v>
      </c>
    </row>
    <row r="927" spans="1:18" s="1" customFormat="1" ht="51" x14ac:dyDescent="0.2">
      <c r="A927" s="45" t="s">
        <v>2763</v>
      </c>
      <c r="B927" s="57">
        <v>25083</v>
      </c>
      <c r="C927" s="60" t="s">
        <v>19</v>
      </c>
      <c r="D927" s="60" t="s">
        <v>2764</v>
      </c>
      <c r="E927" s="50" t="s">
        <v>2360</v>
      </c>
      <c r="F927" s="50" t="s">
        <v>45</v>
      </c>
      <c r="G927" s="60" t="s">
        <v>2765</v>
      </c>
      <c r="H927" s="99"/>
      <c r="I927" s="100">
        <v>15000</v>
      </c>
      <c r="J927" s="99"/>
      <c r="K927" s="99"/>
      <c r="L927" s="89">
        <f t="shared" si="28"/>
        <v>15000</v>
      </c>
      <c r="M927" s="87">
        <f t="shared" si="29"/>
        <v>15000</v>
      </c>
      <c r="N927" s="99"/>
      <c r="O927" s="99"/>
      <c r="P927" s="48">
        <v>41183</v>
      </c>
      <c r="Q927" s="48">
        <v>41548</v>
      </c>
      <c r="R927" s="49">
        <v>11690</v>
      </c>
    </row>
    <row r="928" spans="1:18" s="1" customFormat="1" ht="25.5" x14ac:dyDescent="0.2">
      <c r="A928" s="45" t="s">
        <v>2766</v>
      </c>
      <c r="B928" s="57">
        <v>25197</v>
      </c>
      <c r="C928" s="60" t="s">
        <v>19</v>
      </c>
      <c r="D928" s="60" t="s">
        <v>2158</v>
      </c>
      <c r="E928" s="50" t="s">
        <v>2360</v>
      </c>
      <c r="F928" s="50" t="s">
        <v>71</v>
      </c>
      <c r="G928" s="60" t="s">
        <v>2767</v>
      </c>
      <c r="H928" s="99"/>
      <c r="I928" s="100">
        <v>15000</v>
      </c>
      <c r="J928" s="99"/>
      <c r="K928" s="99"/>
      <c r="L928" s="89">
        <f t="shared" si="28"/>
        <v>15000</v>
      </c>
      <c r="M928" s="87">
        <f t="shared" si="29"/>
        <v>15000</v>
      </c>
      <c r="N928" s="99"/>
      <c r="O928" s="99"/>
      <c r="P928" s="48">
        <v>41183</v>
      </c>
      <c r="Q928" s="48">
        <v>41640</v>
      </c>
      <c r="R928" s="49">
        <v>11489</v>
      </c>
    </row>
    <row r="929" spans="1:18" s="1" customFormat="1" ht="76.5" x14ac:dyDescent="0.2">
      <c r="A929" s="45" t="s">
        <v>2768</v>
      </c>
      <c r="B929" s="57">
        <v>25186</v>
      </c>
      <c r="C929" s="60" t="s">
        <v>19</v>
      </c>
      <c r="D929" s="60" t="s">
        <v>1923</v>
      </c>
      <c r="E929" s="50" t="s">
        <v>2360</v>
      </c>
      <c r="F929" s="50" t="s">
        <v>71</v>
      </c>
      <c r="G929" s="60" t="s">
        <v>2769</v>
      </c>
      <c r="H929" s="99"/>
      <c r="I929" s="100">
        <v>15000</v>
      </c>
      <c r="J929" s="99"/>
      <c r="K929" s="99"/>
      <c r="L929" s="89">
        <f t="shared" si="28"/>
        <v>15000</v>
      </c>
      <c r="M929" s="87">
        <f t="shared" si="29"/>
        <v>15000</v>
      </c>
      <c r="N929" s="99"/>
      <c r="O929" s="99"/>
      <c r="P929" s="48">
        <v>41183</v>
      </c>
      <c r="Q929" s="48">
        <v>41640</v>
      </c>
      <c r="R929" s="49">
        <v>11682</v>
      </c>
    </row>
    <row r="930" spans="1:18" s="1" customFormat="1" ht="51" x14ac:dyDescent="0.2">
      <c r="A930" s="45" t="s">
        <v>2770</v>
      </c>
      <c r="B930" s="57">
        <v>24523</v>
      </c>
      <c r="C930" s="60" t="s">
        <v>19</v>
      </c>
      <c r="D930" s="60" t="s">
        <v>2771</v>
      </c>
      <c r="E930" s="50" t="s">
        <v>2360</v>
      </c>
      <c r="F930" s="50" t="s">
        <v>71</v>
      </c>
      <c r="G930" s="60" t="s">
        <v>2772</v>
      </c>
      <c r="H930" s="99"/>
      <c r="I930" s="100">
        <v>15000</v>
      </c>
      <c r="J930" s="99"/>
      <c r="K930" s="99"/>
      <c r="L930" s="89">
        <f t="shared" si="28"/>
        <v>15000</v>
      </c>
      <c r="M930" s="87">
        <f t="shared" si="29"/>
        <v>15000</v>
      </c>
      <c r="N930" s="99"/>
      <c r="O930" s="99"/>
      <c r="P930" s="48">
        <v>41183</v>
      </c>
      <c r="Q930" s="48">
        <v>41640</v>
      </c>
      <c r="R930" s="49">
        <v>11678</v>
      </c>
    </row>
    <row r="931" spans="1:18" s="1" customFormat="1" ht="51" x14ac:dyDescent="0.2">
      <c r="A931" s="45" t="s">
        <v>2773</v>
      </c>
      <c r="B931" s="57">
        <v>25059</v>
      </c>
      <c r="C931" s="60" t="s">
        <v>19</v>
      </c>
      <c r="D931" s="60" t="s">
        <v>834</v>
      </c>
      <c r="E931" s="50" t="s">
        <v>2360</v>
      </c>
      <c r="F931" s="50" t="s">
        <v>98</v>
      </c>
      <c r="G931" s="60" t="s">
        <v>2774</v>
      </c>
      <c r="H931" s="99"/>
      <c r="I931" s="100">
        <v>15000</v>
      </c>
      <c r="J931" s="99"/>
      <c r="K931" s="99"/>
      <c r="L931" s="89">
        <f t="shared" si="28"/>
        <v>15000</v>
      </c>
      <c r="M931" s="87">
        <f t="shared" si="29"/>
        <v>15000</v>
      </c>
      <c r="N931" s="99"/>
      <c r="O931" s="99"/>
      <c r="P931" s="48">
        <v>41183</v>
      </c>
      <c r="Q931" s="48">
        <v>41640</v>
      </c>
      <c r="R931" s="49">
        <v>11686</v>
      </c>
    </row>
    <row r="932" spans="1:18" s="1" customFormat="1" ht="38.25" x14ac:dyDescent="0.2">
      <c r="A932" s="45" t="s">
        <v>2775</v>
      </c>
      <c r="B932" s="57">
        <v>25301</v>
      </c>
      <c r="C932" s="60" t="s">
        <v>19</v>
      </c>
      <c r="D932" s="60" t="s">
        <v>2776</v>
      </c>
      <c r="E932" s="50" t="s">
        <v>2360</v>
      </c>
      <c r="F932" s="50" t="s">
        <v>98</v>
      </c>
      <c r="G932" s="60" t="s">
        <v>2777</v>
      </c>
      <c r="H932" s="99"/>
      <c r="I932" s="100">
        <v>15000</v>
      </c>
      <c r="J932" s="99"/>
      <c r="K932" s="99"/>
      <c r="L932" s="89">
        <f t="shared" si="28"/>
        <v>15000</v>
      </c>
      <c r="M932" s="87">
        <f t="shared" si="29"/>
        <v>15000</v>
      </c>
      <c r="N932" s="99"/>
      <c r="O932" s="99"/>
      <c r="P932" s="48">
        <v>41183</v>
      </c>
      <c r="Q932" s="48">
        <v>41640</v>
      </c>
      <c r="R932" s="49">
        <v>11679</v>
      </c>
    </row>
    <row r="933" spans="1:18" s="1" customFormat="1" ht="25.5" x14ac:dyDescent="0.2">
      <c r="A933" s="45" t="s">
        <v>2778</v>
      </c>
      <c r="B933" s="57">
        <v>22878</v>
      </c>
      <c r="C933" s="60" t="s">
        <v>19</v>
      </c>
      <c r="D933" s="60" t="s">
        <v>2779</v>
      </c>
      <c r="E933" s="50" t="s">
        <v>2360</v>
      </c>
      <c r="F933" s="50" t="s">
        <v>45</v>
      </c>
      <c r="G933" s="60" t="s">
        <v>2780</v>
      </c>
      <c r="H933" s="99"/>
      <c r="I933" s="100">
        <v>15000</v>
      </c>
      <c r="J933" s="99"/>
      <c r="K933" s="99"/>
      <c r="L933" s="89">
        <f t="shared" si="28"/>
        <v>15000</v>
      </c>
      <c r="M933" s="87">
        <f t="shared" si="29"/>
        <v>15000</v>
      </c>
      <c r="N933" s="99"/>
      <c r="O933" s="99"/>
      <c r="P933" s="48">
        <v>41183</v>
      </c>
      <c r="Q933" s="48">
        <v>41640</v>
      </c>
      <c r="R933" s="49">
        <v>11429</v>
      </c>
    </row>
    <row r="934" spans="1:18" s="1" customFormat="1" ht="51" x14ac:dyDescent="0.2">
      <c r="A934" s="45" t="s">
        <v>2781</v>
      </c>
      <c r="B934" s="57">
        <v>25327</v>
      </c>
      <c r="C934" s="60" t="s">
        <v>19</v>
      </c>
      <c r="D934" s="60" t="s">
        <v>2782</v>
      </c>
      <c r="E934" s="50" t="s">
        <v>2360</v>
      </c>
      <c r="F934" s="50" t="s">
        <v>71</v>
      </c>
      <c r="G934" s="60" t="s">
        <v>2783</v>
      </c>
      <c r="H934" s="99"/>
      <c r="I934" s="100">
        <v>15000</v>
      </c>
      <c r="J934" s="99"/>
      <c r="K934" s="99"/>
      <c r="L934" s="89">
        <f t="shared" si="28"/>
        <v>15000</v>
      </c>
      <c r="M934" s="87">
        <f t="shared" si="29"/>
        <v>15000</v>
      </c>
      <c r="N934" s="99"/>
      <c r="O934" s="99"/>
      <c r="P934" s="48">
        <v>41183</v>
      </c>
      <c r="Q934" s="48">
        <v>41640</v>
      </c>
      <c r="R934" s="49">
        <v>11432</v>
      </c>
    </row>
    <row r="935" spans="1:18" s="1" customFormat="1" ht="63.75" x14ac:dyDescent="0.2">
      <c r="A935" s="45" t="s">
        <v>2784</v>
      </c>
      <c r="B935" s="57">
        <v>24465</v>
      </c>
      <c r="C935" s="60" t="s">
        <v>19</v>
      </c>
      <c r="D935" s="60" t="s">
        <v>2785</v>
      </c>
      <c r="E935" s="50" t="s">
        <v>2360</v>
      </c>
      <c r="F935" s="50" t="s">
        <v>87</v>
      </c>
      <c r="G935" s="60" t="s">
        <v>2786</v>
      </c>
      <c r="H935" s="99"/>
      <c r="I935" s="100">
        <v>15000</v>
      </c>
      <c r="J935" s="99"/>
      <c r="K935" s="99"/>
      <c r="L935" s="89">
        <f t="shared" si="28"/>
        <v>15000</v>
      </c>
      <c r="M935" s="87">
        <f t="shared" si="29"/>
        <v>15000</v>
      </c>
      <c r="N935" s="99"/>
      <c r="O935" s="99"/>
      <c r="P935" s="48">
        <v>41183</v>
      </c>
      <c r="Q935" s="48">
        <v>41640</v>
      </c>
      <c r="R935" s="49">
        <v>11688</v>
      </c>
    </row>
    <row r="936" spans="1:18" s="1" customFormat="1" ht="63.75" x14ac:dyDescent="0.2">
      <c r="A936" s="45" t="s">
        <v>2787</v>
      </c>
      <c r="B936" s="57">
        <v>24212</v>
      </c>
      <c r="C936" s="60" t="s">
        <v>19</v>
      </c>
      <c r="D936" s="60" t="s">
        <v>2788</v>
      </c>
      <c r="E936" s="50" t="s">
        <v>2360</v>
      </c>
      <c r="F936" s="50" t="s">
        <v>87</v>
      </c>
      <c r="G936" s="60" t="s">
        <v>2789</v>
      </c>
      <c r="H936" s="99"/>
      <c r="I936" s="100">
        <v>15000</v>
      </c>
      <c r="J936" s="99"/>
      <c r="K936" s="99"/>
      <c r="L936" s="89">
        <f t="shared" si="28"/>
        <v>15000</v>
      </c>
      <c r="M936" s="87">
        <f t="shared" si="29"/>
        <v>15000</v>
      </c>
      <c r="N936" s="99"/>
      <c r="O936" s="99"/>
      <c r="P936" s="48">
        <v>41183</v>
      </c>
      <c r="Q936" s="48">
        <v>41640</v>
      </c>
      <c r="R936" s="49">
        <v>11724</v>
      </c>
    </row>
    <row r="937" spans="1:18" s="1" customFormat="1" ht="38.25" x14ac:dyDescent="0.2">
      <c r="A937" s="45" t="s">
        <v>2790</v>
      </c>
      <c r="B937" s="57">
        <v>8055</v>
      </c>
      <c r="C937" s="60" t="s">
        <v>19</v>
      </c>
      <c r="D937" s="60" t="s">
        <v>2791</v>
      </c>
      <c r="E937" s="50" t="s">
        <v>2360</v>
      </c>
      <c r="F937" s="50" t="s">
        <v>121</v>
      </c>
      <c r="G937" s="60" t="s">
        <v>2792</v>
      </c>
      <c r="H937" s="99"/>
      <c r="I937" s="100">
        <v>15000</v>
      </c>
      <c r="J937" s="99"/>
      <c r="K937" s="99"/>
      <c r="L937" s="89">
        <f t="shared" si="28"/>
        <v>15000</v>
      </c>
      <c r="M937" s="87">
        <f t="shared" si="29"/>
        <v>15000</v>
      </c>
      <c r="N937" s="99"/>
      <c r="O937" s="99"/>
      <c r="P937" s="48">
        <v>41183</v>
      </c>
      <c r="Q937" s="48">
        <v>41640</v>
      </c>
      <c r="R937" s="49">
        <v>11729</v>
      </c>
    </row>
    <row r="938" spans="1:18" s="1" customFormat="1" ht="63.75" x14ac:dyDescent="0.2">
      <c r="A938" s="45" t="s">
        <v>2793</v>
      </c>
      <c r="B938" s="57">
        <v>25032</v>
      </c>
      <c r="C938" s="60" t="s">
        <v>19</v>
      </c>
      <c r="D938" s="60" t="s">
        <v>2794</v>
      </c>
      <c r="E938" s="50" t="s">
        <v>2360</v>
      </c>
      <c r="F938" s="50" t="s">
        <v>167</v>
      </c>
      <c r="G938" s="60" t="s">
        <v>2795</v>
      </c>
      <c r="H938" s="99"/>
      <c r="I938" s="100">
        <v>15000</v>
      </c>
      <c r="J938" s="99"/>
      <c r="K938" s="99"/>
      <c r="L938" s="89">
        <f t="shared" si="28"/>
        <v>15000</v>
      </c>
      <c r="M938" s="87">
        <f t="shared" si="29"/>
        <v>15000</v>
      </c>
      <c r="N938" s="99"/>
      <c r="O938" s="99"/>
      <c r="P938" s="48">
        <v>41183</v>
      </c>
      <c r="Q938" s="48">
        <v>41640</v>
      </c>
      <c r="R938" s="49">
        <v>11422</v>
      </c>
    </row>
    <row r="939" spans="1:18" s="1" customFormat="1" ht="51" x14ac:dyDescent="0.2">
      <c r="A939" s="45" t="s">
        <v>2796</v>
      </c>
      <c r="B939" s="57">
        <v>25289</v>
      </c>
      <c r="C939" s="60" t="s">
        <v>19</v>
      </c>
      <c r="D939" s="60" t="s">
        <v>2797</v>
      </c>
      <c r="E939" s="50" t="s">
        <v>2360</v>
      </c>
      <c r="F939" s="50" t="s">
        <v>98</v>
      </c>
      <c r="G939" s="60" t="s">
        <v>2798</v>
      </c>
      <c r="H939" s="99"/>
      <c r="I939" s="100">
        <v>15000</v>
      </c>
      <c r="J939" s="99"/>
      <c r="K939" s="99"/>
      <c r="L939" s="89">
        <f t="shared" si="28"/>
        <v>15000</v>
      </c>
      <c r="M939" s="87">
        <f t="shared" si="29"/>
        <v>15000</v>
      </c>
      <c r="N939" s="99"/>
      <c r="O939" s="99"/>
      <c r="P939" s="48">
        <v>41183</v>
      </c>
      <c r="Q939" s="48">
        <v>41640</v>
      </c>
      <c r="R939" s="49">
        <v>11723</v>
      </c>
    </row>
    <row r="940" spans="1:18" s="1" customFormat="1" ht="51" x14ac:dyDescent="0.2">
      <c r="A940" s="45" t="s">
        <v>2799</v>
      </c>
      <c r="B940" s="57">
        <v>24816</v>
      </c>
      <c r="C940" s="60" t="s">
        <v>19</v>
      </c>
      <c r="D940" s="60" t="s">
        <v>2800</v>
      </c>
      <c r="E940" s="50" t="s">
        <v>2360</v>
      </c>
      <c r="F940" s="50" t="s">
        <v>87</v>
      </c>
      <c r="G940" s="60" t="s">
        <v>2801</v>
      </c>
      <c r="H940" s="99"/>
      <c r="I940" s="100">
        <v>15000</v>
      </c>
      <c r="J940" s="99"/>
      <c r="K940" s="99"/>
      <c r="L940" s="89">
        <f t="shared" si="28"/>
        <v>15000</v>
      </c>
      <c r="M940" s="87">
        <f t="shared" si="29"/>
        <v>15000</v>
      </c>
      <c r="N940" s="99"/>
      <c r="O940" s="99"/>
      <c r="P940" s="48">
        <v>41183</v>
      </c>
      <c r="Q940" s="48">
        <v>41640</v>
      </c>
      <c r="R940" s="49">
        <v>11452</v>
      </c>
    </row>
    <row r="941" spans="1:18" s="1" customFormat="1" ht="25.5" x14ac:dyDescent="0.2">
      <c r="A941" s="45" t="s">
        <v>2802</v>
      </c>
      <c r="B941" s="57">
        <v>19010</v>
      </c>
      <c r="C941" s="60" t="s">
        <v>19</v>
      </c>
      <c r="D941" s="60" t="s">
        <v>2803</v>
      </c>
      <c r="E941" s="50" t="s">
        <v>2360</v>
      </c>
      <c r="F941" s="50" t="s">
        <v>121</v>
      </c>
      <c r="G941" s="60" t="s">
        <v>2804</v>
      </c>
      <c r="H941" s="99"/>
      <c r="I941" s="100">
        <v>15000</v>
      </c>
      <c r="J941" s="99"/>
      <c r="K941" s="99"/>
      <c r="L941" s="89">
        <f t="shared" si="28"/>
        <v>15000</v>
      </c>
      <c r="M941" s="87">
        <f t="shared" si="29"/>
        <v>15000</v>
      </c>
      <c r="N941" s="99"/>
      <c r="O941" s="99"/>
      <c r="P941" s="48">
        <v>41183</v>
      </c>
      <c r="Q941" s="48">
        <v>41640</v>
      </c>
      <c r="R941" s="49">
        <v>11426</v>
      </c>
    </row>
    <row r="942" spans="1:18" s="1" customFormat="1" ht="51" x14ac:dyDescent="0.2">
      <c r="A942" s="45" t="s">
        <v>2805</v>
      </c>
      <c r="B942" s="57">
        <v>24357</v>
      </c>
      <c r="C942" s="60" t="s">
        <v>19</v>
      </c>
      <c r="D942" s="60" t="s">
        <v>2806</v>
      </c>
      <c r="E942" s="50" t="s">
        <v>2360</v>
      </c>
      <c r="F942" s="50" t="s">
        <v>98</v>
      </c>
      <c r="G942" s="60" t="s">
        <v>2807</v>
      </c>
      <c r="H942" s="99"/>
      <c r="I942" s="100">
        <v>15000</v>
      </c>
      <c r="J942" s="99"/>
      <c r="K942" s="99"/>
      <c r="L942" s="89">
        <f t="shared" si="28"/>
        <v>15000</v>
      </c>
      <c r="M942" s="87">
        <f t="shared" si="29"/>
        <v>15000</v>
      </c>
      <c r="N942" s="99"/>
      <c r="O942" s="99"/>
      <c r="P942" s="48">
        <v>41183</v>
      </c>
      <c r="Q942" s="48">
        <v>41640</v>
      </c>
      <c r="R942" s="49">
        <v>11411</v>
      </c>
    </row>
    <row r="943" spans="1:18" s="1" customFormat="1" ht="51" x14ac:dyDescent="0.2">
      <c r="A943" s="45" t="s">
        <v>2808</v>
      </c>
      <c r="B943" s="57">
        <v>24965</v>
      </c>
      <c r="C943" s="60" t="s">
        <v>19</v>
      </c>
      <c r="D943" s="60" t="s">
        <v>376</v>
      </c>
      <c r="E943" s="50" t="s">
        <v>2360</v>
      </c>
      <c r="F943" s="50" t="s">
        <v>94</v>
      </c>
      <c r="G943" s="60" t="s">
        <v>2809</v>
      </c>
      <c r="H943" s="99"/>
      <c r="I943" s="100">
        <v>15000</v>
      </c>
      <c r="J943" s="99"/>
      <c r="K943" s="99"/>
      <c r="L943" s="89">
        <f t="shared" si="28"/>
        <v>15000</v>
      </c>
      <c r="M943" s="87">
        <f t="shared" si="29"/>
        <v>15000</v>
      </c>
      <c r="N943" s="99"/>
      <c r="O943" s="99"/>
      <c r="P943" s="48">
        <v>41183</v>
      </c>
      <c r="Q943" s="48">
        <v>41640</v>
      </c>
      <c r="R943" s="49">
        <v>11421</v>
      </c>
    </row>
    <row r="944" spans="1:18" s="1" customFormat="1" ht="63.75" x14ac:dyDescent="0.2">
      <c r="A944" s="45" t="s">
        <v>2810</v>
      </c>
      <c r="B944" s="57">
        <v>24962</v>
      </c>
      <c r="C944" s="60" t="s">
        <v>19</v>
      </c>
      <c r="D944" s="60" t="s">
        <v>2811</v>
      </c>
      <c r="E944" s="50" t="s">
        <v>2360</v>
      </c>
      <c r="F944" s="50" t="s">
        <v>94</v>
      </c>
      <c r="G944" s="60" t="s">
        <v>2812</v>
      </c>
      <c r="H944" s="99"/>
      <c r="I944" s="100">
        <v>15000</v>
      </c>
      <c r="J944" s="99"/>
      <c r="K944" s="99"/>
      <c r="L944" s="89">
        <f t="shared" si="28"/>
        <v>15000</v>
      </c>
      <c r="M944" s="87">
        <f t="shared" si="29"/>
        <v>15000</v>
      </c>
      <c r="N944" s="99"/>
      <c r="O944" s="99"/>
      <c r="P944" s="48">
        <v>41183</v>
      </c>
      <c r="Q944" s="48">
        <v>41640</v>
      </c>
      <c r="R944" s="49">
        <v>11444</v>
      </c>
    </row>
    <row r="945" spans="1:18" s="1" customFormat="1" ht="51" x14ac:dyDescent="0.2">
      <c r="A945" s="45" t="s">
        <v>2813</v>
      </c>
      <c r="B945" s="57">
        <v>24859</v>
      </c>
      <c r="C945" s="60" t="s">
        <v>19</v>
      </c>
      <c r="D945" s="60" t="s">
        <v>1710</v>
      </c>
      <c r="E945" s="50" t="s">
        <v>2360</v>
      </c>
      <c r="F945" s="50" t="s">
        <v>94</v>
      </c>
      <c r="G945" s="60" t="s">
        <v>2814</v>
      </c>
      <c r="H945" s="99"/>
      <c r="I945" s="100">
        <v>15000</v>
      </c>
      <c r="J945" s="99"/>
      <c r="K945" s="99"/>
      <c r="L945" s="89">
        <f t="shared" si="28"/>
        <v>15000</v>
      </c>
      <c r="M945" s="87">
        <f t="shared" si="29"/>
        <v>15000</v>
      </c>
      <c r="N945" s="99"/>
      <c r="O945" s="99"/>
      <c r="P945" s="48">
        <v>41183</v>
      </c>
      <c r="Q945" s="48">
        <v>41640</v>
      </c>
      <c r="R945" s="49">
        <v>11443</v>
      </c>
    </row>
    <row r="946" spans="1:18" s="1" customFormat="1" ht="76.5" x14ac:dyDescent="0.2">
      <c r="A946" s="45" t="s">
        <v>2815</v>
      </c>
      <c r="B946" s="57">
        <v>25187</v>
      </c>
      <c r="C946" s="60" t="s">
        <v>19</v>
      </c>
      <c r="D946" s="60" t="s">
        <v>2816</v>
      </c>
      <c r="E946" s="50" t="s">
        <v>2360</v>
      </c>
      <c r="F946" s="50" t="s">
        <v>167</v>
      </c>
      <c r="G946" s="60" t="s">
        <v>2817</v>
      </c>
      <c r="H946" s="99"/>
      <c r="I946" s="100">
        <v>15000</v>
      </c>
      <c r="J946" s="99"/>
      <c r="K946" s="99"/>
      <c r="L946" s="89">
        <f t="shared" si="28"/>
        <v>15000</v>
      </c>
      <c r="M946" s="87">
        <f t="shared" si="29"/>
        <v>15000</v>
      </c>
      <c r="N946" s="99"/>
      <c r="O946" s="99"/>
      <c r="P946" s="48">
        <v>41183</v>
      </c>
      <c r="Q946" s="48">
        <v>41640</v>
      </c>
      <c r="R946" s="49">
        <v>11736</v>
      </c>
    </row>
    <row r="947" spans="1:18" s="1" customFormat="1" ht="63.75" x14ac:dyDescent="0.2">
      <c r="A947" s="45" t="s">
        <v>2818</v>
      </c>
      <c r="B947" s="57">
        <v>21951</v>
      </c>
      <c r="C947" s="60" t="s">
        <v>19</v>
      </c>
      <c r="D947" s="60" t="s">
        <v>2819</v>
      </c>
      <c r="E947" s="50" t="s">
        <v>2360</v>
      </c>
      <c r="F947" s="50" t="s">
        <v>167</v>
      </c>
      <c r="G947" s="60" t="s">
        <v>2820</v>
      </c>
      <c r="H947" s="99"/>
      <c r="I947" s="100">
        <v>15000</v>
      </c>
      <c r="J947" s="99"/>
      <c r="K947" s="99"/>
      <c r="L947" s="89">
        <f t="shared" si="28"/>
        <v>15000</v>
      </c>
      <c r="M947" s="87">
        <f t="shared" si="29"/>
        <v>15000</v>
      </c>
      <c r="N947" s="99"/>
      <c r="O947" s="99"/>
      <c r="P947" s="48">
        <v>41183</v>
      </c>
      <c r="Q947" s="48">
        <v>41640</v>
      </c>
      <c r="R947" s="49">
        <v>11450</v>
      </c>
    </row>
    <row r="948" spans="1:18" s="1" customFormat="1" ht="25.5" x14ac:dyDescent="0.2">
      <c r="A948" s="45" t="s">
        <v>2821</v>
      </c>
      <c r="B948" s="57">
        <v>24551</v>
      </c>
      <c r="C948" s="60" t="s">
        <v>19</v>
      </c>
      <c r="D948" s="60" t="s">
        <v>2822</v>
      </c>
      <c r="E948" s="50" t="s">
        <v>2360</v>
      </c>
      <c r="F948" s="50" t="s">
        <v>87</v>
      </c>
      <c r="G948" s="60" t="s">
        <v>2823</v>
      </c>
      <c r="H948" s="99"/>
      <c r="I948" s="100">
        <v>12000</v>
      </c>
      <c r="J948" s="99"/>
      <c r="K948" s="99"/>
      <c r="L948" s="89">
        <f t="shared" si="28"/>
        <v>12000</v>
      </c>
      <c r="M948" s="87">
        <f t="shared" si="29"/>
        <v>12000</v>
      </c>
      <c r="N948" s="99"/>
      <c r="O948" s="99"/>
      <c r="P948" s="48">
        <v>41183</v>
      </c>
      <c r="Q948" s="48">
        <v>41640</v>
      </c>
      <c r="R948" s="49">
        <v>11451</v>
      </c>
    </row>
    <row r="949" spans="1:18" s="1" customFormat="1" ht="63.75" x14ac:dyDescent="0.2">
      <c r="A949" s="45" t="s">
        <v>2824</v>
      </c>
      <c r="B949" s="57">
        <v>24516</v>
      </c>
      <c r="C949" s="60" t="s">
        <v>19</v>
      </c>
      <c r="D949" s="60" t="s">
        <v>90</v>
      </c>
      <c r="E949" s="50" t="s">
        <v>2360</v>
      </c>
      <c r="F949" s="50" t="s">
        <v>87</v>
      </c>
      <c r="G949" s="60" t="s">
        <v>2825</v>
      </c>
      <c r="H949" s="99"/>
      <c r="I949" s="100">
        <v>15000</v>
      </c>
      <c r="J949" s="99"/>
      <c r="K949" s="99"/>
      <c r="L949" s="89">
        <f t="shared" si="28"/>
        <v>15000</v>
      </c>
      <c r="M949" s="87">
        <f t="shared" si="29"/>
        <v>15000</v>
      </c>
      <c r="N949" s="99"/>
      <c r="O949" s="99"/>
      <c r="P949" s="48">
        <v>41183</v>
      </c>
      <c r="Q949" s="48">
        <v>41640</v>
      </c>
      <c r="R949" s="49">
        <v>11420</v>
      </c>
    </row>
    <row r="950" spans="1:18" s="1" customFormat="1" ht="51" x14ac:dyDescent="0.2">
      <c r="A950" s="45" t="s">
        <v>2826</v>
      </c>
      <c r="B950" s="57">
        <v>24510</v>
      </c>
      <c r="C950" s="60" t="s">
        <v>19</v>
      </c>
      <c r="D950" s="60" t="s">
        <v>2827</v>
      </c>
      <c r="E950" s="50" t="s">
        <v>2360</v>
      </c>
      <c r="F950" s="50" t="s">
        <v>87</v>
      </c>
      <c r="G950" s="60" t="s">
        <v>2828</v>
      </c>
      <c r="H950" s="99"/>
      <c r="I950" s="100">
        <v>15000</v>
      </c>
      <c r="J950" s="99"/>
      <c r="K950" s="99"/>
      <c r="L950" s="89">
        <f t="shared" si="28"/>
        <v>15000</v>
      </c>
      <c r="M950" s="87">
        <f t="shared" si="29"/>
        <v>15000</v>
      </c>
      <c r="N950" s="99"/>
      <c r="O950" s="99"/>
      <c r="P950" s="48">
        <v>41183</v>
      </c>
      <c r="Q950" s="48">
        <v>41640</v>
      </c>
      <c r="R950" s="49">
        <v>11431</v>
      </c>
    </row>
    <row r="951" spans="1:18" s="1" customFormat="1" ht="51" x14ac:dyDescent="0.2">
      <c r="A951" s="45" t="s">
        <v>2829</v>
      </c>
      <c r="B951" s="57">
        <v>24959</v>
      </c>
      <c r="C951" s="60" t="s">
        <v>19</v>
      </c>
      <c r="D951" s="60" t="s">
        <v>1871</v>
      </c>
      <c r="E951" s="50" t="s">
        <v>2360</v>
      </c>
      <c r="F951" s="50" t="s">
        <v>167</v>
      </c>
      <c r="G951" s="60" t="s">
        <v>2830</v>
      </c>
      <c r="H951" s="99"/>
      <c r="I951" s="100">
        <v>15000</v>
      </c>
      <c r="J951" s="99"/>
      <c r="K951" s="99"/>
      <c r="L951" s="89">
        <f t="shared" si="28"/>
        <v>15000</v>
      </c>
      <c r="M951" s="87">
        <f t="shared" si="29"/>
        <v>15000</v>
      </c>
      <c r="N951" s="99"/>
      <c r="O951" s="99"/>
      <c r="P951" s="48">
        <v>41183</v>
      </c>
      <c r="Q951" s="48">
        <v>41640</v>
      </c>
      <c r="R951" s="49">
        <v>11419</v>
      </c>
    </row>
    <row r="952" spans="1:18" s="1" customFormat="1" ht="51" x14ac:dyDescent="0.2">
      <c r="A952" s="45" t="s">
        <v>2831</v>
      </c>
      <c r="B952" s="57">
        <v>23817</v>
      </c>
      <c r="C952" s="60" t="s">
        <v>19</v>
      </c>
      <c r="D952" s="60" t="s">
        <v>2832</v>
      </c>
      <c r="E952" s="50" t="s">
        <v>2360</v>
      </c>
      <c r="F952" s="50" t="s">
        <v>167</v>
      </c>
      <c r="G952" s="60" t="s">
        <v>2833</v>
      </c>
      <c r="H952" s="99"/>
      <c r="I952" s="100">
        <v>15000</v>
      </c>
      <c r="J952" s="99"/>
      <c r="K952" s="99"/>
      <c r="L952" s="89">
        <f t="shared" si="28"/>
        <v>15000</v>
      </c>
      <c r="M952" s="87">
        <f t="shared" si="29"/>
        <v>15000</v>
      </c>
      <c r="N952" s="99"/>
      <c r="O952" s="99"/>
      <c r="P952" s="48">
        <v>41183</v>
      </c>
      <c r="Q952" s="48">
        <v>41640</v>
      </c>
      <c r="R952" s="49">
        <v>11417</v>
      </c>
    </row>
    <row r="953" spans="1:18" s="1" customFormat="1" ht="51" x14ac:dyDescent="0.2">
      <c r="A953" s="45" t="s">
        <v>2834</v>
      </c>
      <c r="B953" s="57">
        <v>25084</v>
      </c>
      <c r="C953" s="60" t="s">
        <v>19</v>
      </c>
      <c r="D953" s="60" t="s">
        <v>2835</v>
      </c>
      <c r="E953" s="50" t="s">
        <v>2360</v>
      </c>
      <c r="F953" s="50" t="s">
        <v>26</v>
      </c>
      <c r="G953" s="60" t="s">
        <v>2836</v>
      </c>
      <c r="H953" s="99"/>
      <c r="I953" s="100">
        <v>15000</v>
      </c>
      <c r="J953" s="99"/>
      <c r="K953" s="99"/>
      <c r="L953" s="89">
        <f t="shared" si="28"/>
        <v>15000</v>
      </c>
      <c r="M953" s="87">
        <f t="shared" si="29"/>
        <v>15000</v>
      </c>
      <c r="N953" s="99"/>
      <c r="O953" s="99"/>
      <c r="P953" s="48">
        <v>41183</v>
      </c>
      <c r="Q953" s="48">
        <v>41640</v>
      </c>
      <c r="R953" s="49">
        <v>11414</v>
      </c>
    </row>
    <row r="954" spans="1:18" s="1" customFormat="1" ht="63.75" x14ac:dyDescent="0.2">
      <c r="A954" s="45" t="s">
        <v>2837</v>
      </c>
      <c r="B954" s="57">
        <v>25140</v>
      </c>
      <c r="C954" s="60" t="s">
        <v>19</v>
      </c>
      <c r="D954" s="60" t="s">
        <v>2838</v>
      </c>
      <c r="E954" s="50" t="s">
        <v>2360</v>
      </c>
      <c r="F954" s="50" t="s">
        <v>26</v>
      </c>
      <c r="G954" s="60" t="s">
        <v>2839</v>
      </c>
      <c r="H954" s="99"/>
      <c r="I954" s="100">
        <v>15000</v>
      </c>
      <c r="J954" s="99"/>
      <c r="K954" s="99"/>
      <c r="L954" s="89">
        <f t="shared" si="28"/>
        <v>15000</v>
      </c>
      <c r="M954" s="87">
        <f t="shared" si="29"/>
        <v>15000</v>
      </c>
      <c r="N954" s="99"/>
      <c r="O954" s="99"/>
      <c r="P954" s="48">
        <v>41183</v>
      </c>
      <c r="Q954" s="48">
        <v>41640</v>
      </c>
      <c r="R954" s="49">
        <v>11423</v>
      </c>
    </row>
    <row r="955" spans="1:18" s="1" customFormat="1" ht="89.25" x14ac:dyDescent="0.2">
      <c r="A955" s="45" t="s">
        <v>2840</v>
      </c>
      <c r="B955" s="57">
        <v>25109</v>
      </c>
      <c r="C955" s="60" t="s">
        <v>19</v>
      </c>
      <c r="D955" s="60" t="s">
        <v>1968</v>
      </c>
      <c r="E955" s="50" t="s">
        <v>2360</v>
      </c>
      <c r="F955" s="50" t="s">
        <v>87</v>
      </c>
      <c r="G955" s="60" t="s">
        <v>2841</v>
      </c>
      <c r="H955" s="99"/>
      <c r="I955" s="100">
        <v>15000</v>
      </c>
      <c r="J955" s="99"/>
      <c r="K955" s="99"/>
      <c r="L955" s="89">
        <f t="shared" si="28"/>
        <v>15000</v>
      </c>
      <c r="M955" s="87">
        <f t="shared" si="29"/>
        <v>15000</v>
      </c>
      <c r="N955" s="99"/>
      <c r="O955" s="99"/>
      <c r="P955" s="48">
        <v>41183</v>
      </c>
      <c r="Q955" s="48">
        <v>41640</v>
      </c>
      <c r="R955" s="49">
        <v>11445</v>
      </c>
    </row>
    <row r="956" spans="1:18" s="1" customFormat="1" ht="38.25" x14ac:dyDescent="0.2">
      <c r="A956" s="45" t="s">
        <v>2842</v>
      </c>
      <c r="B956" s="57">
        <v>24825</v>
      </c>
      <c r="C956" s="60" t="s">
        <v>19</v>
      </c>
      <c r="D956" s="60" t="s">
        <v>796</v>
      </c>
      <c r="E956" s="50" t="s">
        <v>2360</v>
      </c>
      <c r="F956" s="50" t="s">
        <v>121</v>
      </c>
      <c r="G956" s="60" t="s">
        <v>2843</v>
      </c>
      <c r="H956" s="99"/>
      <c r="I956" s="100">
        <v>15000</v>
      </c>
      <c r="J956" s="99"/>
      <c r="K956" s="99"/>
      <c r="L956" s="89">
        <f t="shared" si="28"/>
        <v>15000</v>
      </c>
      <c r="M956" s="87">
        <f t="shared" si="29"/>
        <v>15000</v>
      </c>
      <c r="N956" s="99"/>
      <c r="O956" s="99"/>
      <c r="P956" s="48">
        <v>41183</v>
      </c>
      <c r="Q956" s="48">
        <v>42482</v>
      </c>
      <c r="R956" s="49">
        <v>11449</v>
      </c>
    </row>
    <row r="957" spans="1:18" s="1" customFormat="1" ht="38.25" x14ac:dyDescent="0.2">
      <c r="A957" s="45" t="s">
        <v>2844</v>
      </c>
      <c r="B957" s="57">
        <v>25071</v>
      </c>
      <c r="C957" s="60" t="s">
        <v>43</v>
      </c>
      <c r="D957" s="60" t="s">
        <v>2845</v>
      </c>
      <c r="E957" s="50" t="s">
        <v>2360</v>
      </c>
      <c r="F957" s="50" t="s">
        <v>87</v>
      </c>
      <c r="G957" s="60" t="s">
        <v>2846</v>
      </c>
      <c r="H957" s="99"/>
      <c r="I957" s="100">
        <v>12000</v>
      </c>
      <c r="J957" s="99"/>
      <c r="K957" s="99"/>
      <c r="L957" s="89">
        <f t="shared" si="28"/>
        <v>12000</v>
      </c>
      <c r="M957" s="87">
        <f t="shared" si="29"/>
        <v>12000</v>
      </c>
      <c r="N957" s="99"/>
      <c r="O957" s="99"/>
      <c r="P957" s="48">
        <v>41183</v>
      </c>
      <c r="Q957" s="48">
        <v>41640</v>
      </c>
      <c r="R957" s="49">
        <v>11488</v>
      </c>
    </row>
    <row r="958" spans="1:18" s="1" customFormat="1" ht="63.75" x14ac:dyDescent="0.2">
      <c r="A958" s="45" t="s">
        <v>2847</v>
      </c>
      <c r="B958" s="57">
        <v>24759</v>
      </c>
      <c r="C958" s="60" t="s">
        <v>43</v>
      </c>
      <c r="D958" s="60" t="s">
        <v>1344</v>
      </c>
      <c r="E958" s="50" t="s">
        <v>2360</v>
      </c>
      <c r="F958" s="50" t="s">
        <v>87</v>
      </c>
      <c r="G958" s="60" t="s">
        <v>2848</v>
      </c>
      <c r="H958" s="99"/>
      <c r="I958" s="100">
        <v>12000</v>
      </c>
      <c r="J958" s="99"/>
      <c r="K958" s="99"/>
      <c r="L958" s="89">
        <f t="shared" si="28"/>
        <v>12000</v>
      </c>
      <c r="M958" s="87">
        <f t="shared" si="29"/>
        <v>12000</v>
      </c>
      <c r="N958" s="99"/>
      <c r="O958" s="99"/>
      <c r="P958" s="48">
        <v>41183</v>
      </c>
      <c r="Q958" s="48">
        <v>41640</v>
      </c>
      <c r="R958" s="49">
        <v>11819</v>
      </c>
    </row>
    <row r="959" spans="1:18" s="1" customFormat="1" ht="76.5" x14ac:dyDescent="0.2">
      <c r="A959" s="45" t="s">
        <v>2849</v>
      </c>
      <c r="B959" s="57">
        <v>23781</v>
      </c>
      <c r="C959" s="60" t="s">
        <v>43</v>
      </c>
      <c r="D959" s="60" t="s">
        <v>2850</v>
      </c>
      <c r="E959" s="50" t="s">
        <v>2360</v>
      </c>
      <c r="F959" s="50" t="s">
        <v>87</v>
      </c>
      <c r="G959" s="60" t="s">
        <v>2851</v>
      </c>
      <c r="H959" s="99"/>
      <c r="I959" s="100">
        <v>12000</v>
      </c>
      <c r="J959" s="99"/>
      <c r="K959" s="99"/>
      <c r="L959" s="89">
        <f t="shared" si="28"/>
        <v>12000</v>
      </c>
      <c r="M959" s="87">
        <f t="shared" si="29"/>
        <v>12000</v>
      </c>
      <c r="N959" s="99"/>
      <c r="O959" s="99"/>
      <c r="P959" s="48">
        <v>41183</v>
      </c>
      <c r="Q959" s="48">
        <v>41640</v>
      </c>
      <c r="R959" s="49">
        <v>11709</v>
      </c>
    </row>
    <row r="960" spans="1:18" s="1" customFormat="1" ht="38.25" x14ac:dyDescent="0.2">
      <c r="A960" s="45" t="s">
        <v>2852</v>
      </c>
      <c r="B960" s="57">
        <v>22835</v>
      </c>
      <c r="C960" s="60" t="s">
        <v>43</v>
      </c>
      <c r="D960" s="60" t="s">
        <v>2853</v>
      </c>
      <c r="E960" s="50" t="s">
        <v>2360</v>
      </c>
      <c r="F960" s="50" t="s">
        <v>87</v>
      </c>
      <c r="G960" s="60" t="s">
        <v>2854</v>
      </c>
      <c r="H960" s="99"/>
      <c r="I960" s="100">
        <v>12000</v>
      </c>
      <c r="J960" s="99"/>
      <c r="K960" s="99"/>
      <c r="L960" s="89">
        <f t="shared" si="28"/>
        <v>12000</v>
      </c>
      <c r="M960" s="87">
        <f t="shared" si="29"/>
        <v>12000</v>
      </c>
      <c r="N960" s="99"/>
      <c r="O960" s="99"/>
      <c r="P960" s="48">
        <v>41183</v>
      </c>
      <c r="Q960" s="48">
        <v>41640</v>
      </c>
      <c r="R960" s="49">
        <v>11708</v>
      </c>
    </row>
    <row r="961" spans="1:18" s="1" customFormat="1" ht="51" x14ac:dyDescent="0.2">
      <c r="A961" s="45" t="s">
        <v>2855</v>
      </c>
      <c r="B961" s="57">
        <v>15814</v>
      </c>
      <c r="C961" s="60" t="s">
        <v>43</v>
      </c>
      <c r="D961" s="60" t="s">
        <v>2856</v>
      </c>
      <c r="E961" s="50" t="s">
        <v>2360</v>
      </c>
      <c r="F961" s="50" t="s">
        <v>87</v>
      </c>
      <c r="G961" s="60" t="s">
        <v>2857</v>
      </c>
      <c r="H961" s="99"/>
      <c r="I961" s="100">
        <v>15000</v>
      </c>
      <c r="J961" s="99"/>
      <c r="K961" s="99"/>
      <c r="L961" s="89">
        <f t="shared" si="28"/>
        <v>15000</v>
      </c>
      <c r="M961" s="87">
        <f t="shared" si="29"/>
        <v>15000</v>
      </c>
      <c r="N961" s="99"/>
      <c r="O961" s="99"/>
      <c r="P961" s="48">
        <v>41183</v>
      </c>
      <c r="Q961" s="48">
        <v>41640</v>
      </c>
      <c r="R961" s="49">
        <v>11487</v>
      </c>
    </row>
    <row r="962" spans="1:18" s="1" customFormat="1" ht="38.25" x14ac:dyDescent="0.2">
      <c r="A962" s="45" t="s">
        <v>2858</v>
      </c>
      <c r="B962" s="57">
        <v>25218</v>
      </c>
      <c r="C962" s="60" t="s">
        <v>43</v>
      </c>
      <c r="D962" s="60" t="s">
        <v>2859</v>
      </c>
      <c r="E962" s="50" t="s">
        <v>2360</v>
      </c>
      <c r="F962" s="50" t="s">
        <v>398</v>
      </c>
      <c r="G962" s="60" t="s">
        <v>2860</v>
      </c>
      <c r="H962" s="99"/>
      <c r="I962" s="100">
        <v>12000</v>
      </c>
      <c r="J962" s="99"/>
      <c r="K962" s="99"/>
      <c r="L962" s="89">
        <f t="shared" si="28"/>
        <v>12000</v>
      </c>
      <c r="M962" s="87">
        <f t="shared" si="29"/>
        <v>12000</v>
      </c>
      <c r="N962" s="99"/>
      <c r="O962" s="99"/>
      <c r="P962" s="48">
        <v>41183</v>
      </c>
      <c r="Q962" s="48">
        <v>41640</v>
      </c>
      <c r="R962" s="49">
        <v>11705</v>
      </c>
    </row>
    <row r="963" spans="1:18" s="1" customFormat="1" ht="25.5" x14ac:dyDescent="0.2">
      <c r="A963" s="45" t="s">
        <v>2861</v>
      </c>
      <c r="B963" s="57">
        <v>22615</v>
      </c>
      <c r="C963" s="60" t="s">
        <v>43</v>
      </c>
      <c r="D963" s="60" t="s">
        <v>2862</v>
      </c>
      <c r="E963" s="50" t="s">
        <v>2360</v>
      </c>
      <c r="F963" s="50" t="s">
        <v>71</v>
      </c>
      <c r="G963" s="60" t="s">
        <v>2863</v>
      </c>
      <c r="H963" s="99"/>
      <c r="I963" s="100">
        <v>12000</v>
      </c>
      <c r="J963" s="99"/>
      <c r="K963" s="99"/>
      <c r="L963" s="89">
        <f t="shared" si="28"/>
        <v>12000</v>
      </c>
      <c r="M963" s="87">
        <f t="shared" si="29"/>
        <v>12000</v>
      </c>
      <c r="N963" s="99"/>
      <c r="O963" s="99"/>
      <c r="P963" s="48">
        <v>41183</v>
      </c>
      <c r="Q963" s="48">
        <v>41640</v>
      </c>
      <c r="R963" s="49">
        <v>11692</v>
      </c>
    </row>
    <row r="964" spans="1:18" s="1" customFormat="1" ht="51" x14ac:dyDescent="0.2">
      <c r="A964" s="45" t="s">
        <v>2864</v>
      </c>
      <c r="B964" s="57">
        <v>24800</v>
      </c>
      <c r="C964" s="60" t="s">
        <v>43</v>
      </c>
      <c r="D964" s="60" t="s">
        <v>1799</v>
      </c>
      <c r="E964" s="50" t="s">
        <v>2360</v>
      </c>
      <c r="F964" s="50" t="s">
        <v>71</v>
      </c>
      <c r="G964" s="60" t="s">
        <v>2865</v>
      </c>
      <c r="H964" s="99"/>
      <c r="I964" s="100">
        <v>12000</v>
      </c>
      <c r="J964" s="99"/>
      <c r="K964" s="99"/>
      <c r="L964" s="89">
        <f t="shared" si="28"/>
        <v>12000</v>
      </c>
      <c r="M964" s="87">
        <f t="shared" si="29"/>
        <v>12000</v>
      </c>
      <c r="N964" s="99"/>
      <c r="O964" s="99"/>
      <c r="P964" s="48">
        <v>41183</v>
      </c>
      <c r="Q964" s="48">
        <v>41640</v>
      </c>
      <c r="R964" s="49">
        <v>11704</v>
      </c>
    </row>
    <row r="965" spans="1:18" s="1" customFormat="1" ht="51" x14ac:dyDescent="0.2">
      <c r="A965" s="45" t="s">
        <v>2866</v>
      </c>
      <c r="B965" s="57">
        <v>25253</v>
      </c>
      <c r="C965" s="60" t="s">
        <v>43</v>
      </c>
      <c r="D965" s="60" t="s">
        <v>2867</v>
      </c>
      <c r="E965" s="50" t="s">
        <v>2360</v>
      </c>
      <c r="F965" s="50" t="s">
        <v>71</v>
      </c>
      <c r="G965" s="60" t="s">
        <v>2868</v>
      </c>
      <c r="H965" s="99"/>
      <c r="I965" s="100">
        <v>12000</v>
      </c>
      <c r="J965" s="99"/>
      <c r="K965" s="99"/>
      <c r="L965" s="89">
        <f t="shared" si="28"/>
        <v>12000</v>
      </c>
      <c r="M965" s="87">
        <f t="shared" si="29"/>
        <v>12000</v>
      </c>
      <c r="N965" s="99"/>
      <c r="O965" s="99"/>
      <c r="P965" s="48">
        <v>41183</v>
      </c>
      <c r="Q965" s="48">
        <v>41640</v>
      </c>
      <c r="R965" s="49">
        <v>11703</v>
      </c>
    </row>
    <row r="966" spans="1:18" s="1" customFormat="1" ht="63.75" x14ac:dyDescent="0.2">
      <c r="A966" s="45" t="s">
        <v>2869</v>
      </c>
      <c r="B966" s="57">
        <v>25342</v>
      </c>
      <c r="C966" s="60" t="s">
        <v>43</v>
      </c>
      <c r="D966" s="60" t="s">
        <v>2870</v>
      </c>
      <c r="E966" s="50" t="s">
        <v>2360</v>
      </c>
      <c r="F966" s="50" t="s">
        <v>71</v>
      </c>
      <c r="G966" s="60" t="s">
        <v>2871</v>
      </c>
      <c r="H966" s="99"/>
      <c r="I966" s="100">
        <v>12000</v>
      </c>
      <c r="J966" s="99"/>
      <c r="K966" s="99"/>
      <c r="L966" s="89">
        <f t="shared" si="28"/>
        <v>12000</v>
      </c>
      <c r="M966" s="87">
        <f t="shared" si="29"/>
        <v>12000</v>
      </c>
      <c r="N966" s="99"/>
      <c r="O966" s="99"/>
      <c r="P966" s="56" t="s">
        <v>2872</v>
      </c>
      <c r="Q966" s="56" t="s">
        <v>2872</v>
      </c>
      <c r="R966" s="69"/>
    </row>
    <row r="967" spans="1:18" s="1" customFormat="1" ht="38.25" x14ac:dyDescent="0.2">
      <c r="A967" s="45" t="s">
        <v>2873</v>
      </c>
      <c r="B967" s="57">
        <v>25161</v>
      </c>
      <c r="C967" s="60" t="s">
        <v>43</v>
      </c>
      <c r="D967" s="60" t="s">
        <v>2874</v>
      </c>
      <c r="E967" s="50" t="s">
        <v>2360</v>
      </c>
      <c r="F967" s="50" t="s">
        <v>193</v>
      </c>
      <c r="G967" s="60" t="s">
        <v>2875</v>
      </c>
      <c r="H967" s="99"/>
      <c r="I967" s="100">
        <v>12000</v>
      </c>
      <c r="J967" s="99"/>
      <c r="K967" s="99"/>
      <c r="L967" s="89">
        <f t="shared" ref="L967:L1030" si="30">H967+I967+J967+K967</f>
        <v>12000</v>
      </c>
      <c r="M967" s="87">
        <f t="shared" ref="M967:M1030" si="31">SUM(L967)</f>
        <v>12000</v>
      </c>
      <c r="N967" s="99"/>
      <c r="O967" s="99"/>
      <c r="P967" s="48">
        <v>41402</v>
      </c>
      <c r="Q967" s="48">
        <v>41767</v>
      </c>
      <c r="R967" s="49">
        <v>15379</v>
      </c>
    </row>
    <row r="968" spans="1:18" s="1" customFormat="1" ht="76.5" x14ac:dyDescent="0.2">
      <c r="A968" s="45" t="s">
        <v>2876</v>
      </c>
      <c r="B968" s="57">
        <v>24958</v>
      </c>
      <c r="C968" s="60" t="s">
        <v>43</v>
      </c>
      <c r="D968" s="60" t="s">
        <v>2877</v>
      </c>
      <c r="E968" s="50" t="s">
        <v>2360</v>
      </c>
      <c r="F968" s="50" t="s">
        <v>109</v>
      </c>
      <c r="G968" s="60" t="s">
        <v>2878</v>
      </c>
      <c r="H968" s="99"/>
      <c r="I968" s="100">
        <v>12000</v>
      </c>
      <c r="J968" s="99"/>
      <c r="K968" s="99"/>
      <c r="L968" s="89">
        <f t="shared" si="30"/>
        <v>12000</v>
      </c>
      <c r="M968" s="87">
        <f t="shared" si="31"/>
        <v>12000</v>
      </c>
      <c r="N968" s="99"/>
      <c r="O968" s="99"/>
      <c r="P968" s="48">
        <v>41183</v>
      </c>
      <c r="Q968" s="48">
        <v>41640</v>
      </c>
      <c r="R968" s="49">
        <v>11782</v>
      </c>
    </row>
    <row r="969" spans="1:18" s="1" customFormat="1" ht="38.25" x14ac:dyDescent="0.2">
      <c r="A969" s="45" t="s">
        <v>2879</v>
      </c>
      <c r="B969" s="57">
        <v>25250</v>
      </c>
      <c r="C969" s="60" t="s">
        <v>43</v>
      </c>
      <c r="D969" s="60" t="s">
        <v>2880</v>
      </c>
      <c r="E969" s="50" t="s">
        <v>2360</v>
      </c>
      <c r="F969" s="50" t="s">
        <v>109</v>
      </c>
      <c r="G969" s="60" t="s">
        <v>2881</v>
      </c>
      <c r="H969" s="99"/>
      <c r="I969" s="100">
        <v>12000</v>
      </c>
      <c r="J969" s="99"/>
      <c r="K969" s="99"/>
      <c r="L969" s="89">
        <f t="shared" si="30"/>
        <v>12000</v>
      </c>
      <c r="M969" s="87">
        <f t="shared" si="31"/>
        <v>12000</v>
      </c>
      <c r="N969" s="99"/>
      <c r="O969" s="99"/>
      <c r="P969" s="48">
        <v>41183</v>
      </c>
      <c r="Q969" s="48">
        <v>41640</v>
      </c>
      <c r="R969" s="49">
        <v>11781</v>
      </c>
    </row>
    <row r="970" spans="1:18" s="1" customFormat="1" ht="76.5" x14ac:dyDescent="0.2">
      <c r="A970" s="45" t="s">
        <v>2882</v>
      </c>
      <c r="B970" s="57">
        <v>25069</v>
      </c>
      <c r="C970" s="60" t="s">
        <v>43</v>
      </c>
      <c r="D970" s="60" t="s">
        <v>2883</v>
      </c>
      <c r="E970" s="50" t="s">
        <v>2360</v>
      </c>
      <c r="F970" s="50" t="s">
        <v>94</v>
      </c>
      <c r="G970" s="60" t="s">
        <v>2884</v>
      </c>
      <c r="H970" s="99"/>
      <c r="I970" s="100">
        <v>12000</v>
      </c>
      <c r="J970" s="99"/>
      <c r="K970" s="99"/>
      <c r="L970" s="89">
        <f t="shared" si="30"/>
        <v>12000</v>
      </c>
      <c r="M970" s="87">
        <f t="shared" si="31"/>
        <v>12000</v>
      </c>
      <c r="N970" s="99"/>
      <c r="O970" s="99"/>
      <c r="P970" s="48">
        <v>41183</v>
      </c>
      <c r="Q970" s="48">
        <v>41640</v>
      </c>
      <c r="R970" s="49">
        <v>11788</v>
      </c>
    </row>
    <row r="971" spans="1:18" s="1" customFormat="1" ht="63.75" x14ac:dyDescent="0.2">
      <c r="A971" s="45" t="s">
        <v>2885</v>
      </c>
      <c r="B971" s="57">
        <v>25028</v>
      </c>
      <c r="C971" s="60" t="s">
        <v>43</v>
      </c>
      <c r="D971" s="60" t="s">
        <v>2886</v>
      </c>
      <c r="E971" s="50" t="s">
        <v>2360</v>
      </c>
      <c r="F971" s="50" t="s">
        <v>94</v>
      </c>
      <c r="G971" s="60" t="s">
        <v>2887</v>
      </c>
      <c r="H971" s="99"/>
      <c r="I971" s="100">
        <v>12000</v>
      </c>
      <c r="J971" s="99"/>
      <c r="K971" s="99"/>
      <c r="L971" s="89">
        <f t="shared" si="30"/>
        <v>12000</v>
      </c>
      <c r="M971" s="87">
        <f t="shared" si="31"/>
        <v>12000</v>
      </c>
      <c r="N971" s="99"/>
      <c r="O971" s="99"/>
      <c r="P971" s="48">
        <v>41183</v>
      </c>
      <c r="Q971" s="48">
        <v>41640</v>
      </c>
      <c r="R971" s="49">
        <v>11789</v>
      </c>
    </row>
    <row r="972" spans="1:18" s="1" customFormat="1" ht="76.5" x14ac:dyDescent="0.2">
      <c r="A972" s="45" t="s">
        <v>2888</v>
      </c>
      <c r="B972" s="57">
        <v>24903</v>
      </c>
      <c r="C972" s="60" t="s">
        <v>43</v>
      </c>
      <c r="D972" s="60" t="s">
        <v>2889</v>
      </c>
      <c r="E972" s="50" t="s">
        <v>2360</v>
      </c>
      <c r="F972" s="50" t="s">
        <v>94</v>
      </c>
      <c r="G972" s="60" t="s">
        <v>2890</v>
      </c>
      <c r="H972" s="99"/>
      <c r="I972" s="100">
        <v>12000</v>
      </c>
      <c r="J972" s="99"/>
      <c r="K972" s="99"/>
      <c r="L972" s="89">
        <f t="shared" si="30"/>
        <v>12000</v>
      </c>
      <c r="M972" s="87">
        <f t="shared" si="31"/>
        <v>12000</v>
      </c>
      <c r="N972" s="99"/>
      <c r="O972" s="99"/>
      <c r="P972" s="48">
        <v>41183</v>
      </c>
      <c r="Q972" s="48">
        <v>41640</v>
      </c>
      <c r="R972" s="49">
        <v>11711</v>
      </c>
    </row>
    <row r="973" spans="1:18" s="1" customFormat="1" ht="38.25" x14ac:dyDescent="0.2">
      <c r="A973" s="45" t="s">
        <v>2891</v>
      </c>
      <c r="B973" s="57">
        <v>22745</v>
      </c>
      <c r="C973" s="60" t="s">
        <v>43</v>
      </c>
      <c r="D973" s="60" t="s">
        <v>2892</v>
      </c>
      <c r="E973" s="50" t="s">
        <v>2360</v>
      </c>
      <c r="F973" s="50" t="s">
        <v>94</v>
      </c>
      <c r="G973" s="60" t="s">
        <v>2893</v>
      </c>
      <c r="H973" s="99"/>
      <c r="I973" s="100">
        <v>12000</v>
      </c>
      <c r="J973" s="99"/>
      <c r="K973" s="99"/>
      <c r="L973" s="89">
        <f t="shared" si="30"/>
        <v>12000</v>
      </c>
      <c r="M973" s="87">
        <f t="shared" si="31"/>
        <v>12000</v>
      </c>
      <c r="N973" s="99"/>
      <c r="O973" s="99"/>
      <c r="P973" s="48">
        <v>41183</v>
      </c>
      <c r="Q973" s="48">
        <v>41640</v>
      </c>
      <c r="R973" s="49">
        <v>11790</v>
      </c>
    </row>
    <row r="974" spans="1:18" s="1" customFormat="1" ht="25.5" x14ac:dyDescent="0.2">
      <c r="A974" s="45" t="s">
        <v>2894</v>
      </c>
      <c r="B974" s="57">
        <v>22750</v>
      </c>
      <c r="C974" s="60" t="s">
        <v>43</v>
      </c>
      <c r="D974" s="60" t="s">
        <v>2895</v>
      </c>
      <c r="E974" s="50" t="s">
        <v>2360</v>
      </c>
      <c r="F974" s="50" t="s">
        <v>94</v>
      </c>
      <c r="G974" s="60" t="s">
        <v>2896</v>
      </c>
      <c r="H974" s="99"/>
      <c r="I974" s="100">
        <v>12000</v>
      </c>
      <c r="J974" s="99"/>
      <c r="K974" s="99"/>
      <c r="L974" s="89">
        <f t="shared" si="30"/>
        <v>12000</v>
      </c>
      <c r="M974" s="87">
        <f t="shared" si="31"/>
        <v>12000</v>
      </c>
      <c r="N974" s="99"/>
      <c r="O974" s="99"/>
      <c r="P974" s="48">
        <v>41183</v>
      </c>
      <c r="Q974" s="48">
        <v>41640</v>
      </c>
      <c r="R974" s="49">
        <v>11791</v>
      </c>
    </row>
    <row r="975" spans="1:18" s="1" customFormat="1" ht="63.75" x14ac:dyDescent="0.2">
      <c r="A975" s="45" t="s">
        <v>2897</v>
      </c>
      <c r="B975" s="57">
        <v>23124</v>
      </c>
      <c r="C975" s="60" t="s">
        <v>43</v>
      </c>
      <c r="D975" s="60" t="s">
        <v>2898</v>
      </c>
      <c r="E975" s="50" t="s">
        <v>2360</v>
      </c>
      <c r="F975" s="50" t="s">
        <v>94</v>
      </c>
      <c r="G975" s="60" t="s">
        <v>2899</v>
      </c>
      <c r="H975" s="99"/>
      <c r="I975" s="100">
        <v>12000</v>
      </c>
      <c r="J975" s="99"/>
      <c r="K975" s="99"/>
      <c r="L975" s="89">
        <f t="shared" si="30"/>
        <v>12000</v>
      </c>
      <c r="M975" s="87">
        <f t="shared" si="31"/>
        <v>12000</v>
      </c>
      <c r="N975" s="99"/>
      <c r="O975" s="99"/>
      <c r="P975" s="48">
        <v>41183</v>
      </c>
      <c r="Q975" s="48">
        <v>41640</v>
      </c>
      <c r="R975" s="49">
        <v>11792</v>
      </c>
    </row>
    <row r="976" spans="1:18" s="1" customFormat="1" ht="51" x14ac:dyDescent="0.2">
      <c r="A976" s="45" t="s">
        <v>2900</v>
      </c>
      <c r="B976" s="57">
        <v>10857</v>
      </c>
      <c r="C976" s="60" t="s">
        <v>43</v>
      </c>
      <c r="D976" s="60" t="s">
        <v>2901</v>
      </c>
      <c r="E976" s="50" t="s">
        <v>2360</v>
      </c>
      <c r="F976" s="50" t="s">
        <v>94</v>
      </c>
      <c r="G976" s="60" t="s">
        <v>2902</v>
      </c>
      <c r="H976" s="99"/>
      <c r="I976" s="100">
        <v>12000</v>
      </c>
      <c r="J976" s="99"/>
      <c r="K976" s="99"/>
      <c r="L976" s="89">
        <f t="shared" si="30"/>
        <v>12000</v>
      </c>
      <c r="M976" s="87">
        <f t="shared" si="31"/>
        <v>12000</v>
      </c>
      <c r="N976" s="99"/>
      <c r="O976" s="99"/>
      <c r="P976" s="48">
        <v>41548</v>
      </c>
      <c r="Q976" s="48">
        <v>41640</v>
      </c>
      <c r="R976" s="49">
        <v>11794</v>
      </c>
    </row>
    <row r="977" spans="1:18" s="1" customFormat="1" ht="51" x14ac:dyDescent="0.2">
      <c r="A977" s="45" t="s">
        <v>2903</v>
      </c>
      <c r="B977" s="57">
        <v>25249</v>
      </c>
      <c r="C977" s="60" t="s">
        <v>43</v>
      </c>
      <c r="D977" s="60" t="s">
        <v>2904</v>
      </c>
      <c r="E977" s="50" t="s">
        <v>2360</v>
      </c>
      <c r="F977" s="50" t="s">
        <v>167</v>
      </c>
      <c r="G977" s="60" t="s">
        <v>2905</v>
      </c>
      <c r="H977" s="99"/>
      <c r="I977" s="100">
        <v>12000</v>
      </c>
      <c r="J977" s="99"/>
      <c r="K977" s="99"/>
      <c r="L977" s="89">
        <f t="shared" si="30"/>
        <v>12000</v>
      </c>
      <c r="M977" s="87">
        <f t="shared" si="31"/>
        <v>12000</v>
      </c>
      <c r="N977" s="99"/>
      <c r="O977" s="99"/>
      <c r="P977" s="48">
        <v>41183</v>
      </c>
      <c r="Q977" s="48">
        <v>41640</v>
      </c>
      <c r="R977" s="49">
        <v>11797</v>
      </c>
    </row>
    <row r="978" spans="1:18" s="1" customFormat="1" ht="63.75" x14ac:dyDescent="0.2">
      <c r="A978" s="45" t="s">
        <v>2906</v>
      </c>
      <c r="B978" s="57">
        <v>23952</v>
      </c>
      <c r="C978" s="60" t="s">
        <v>43</v>
      </c>
      <c r="D978" s="60" t="s">
        <v>2907</v>
      </c>
      <c r="E978" s="50" t="s">
        <v>2360</v>
      </c>
      <c r="F978" s="50" t="s">
        <v>167</v>
      </c>
      <c r="G978" s="60" t="s">
        <v>2908</v>
      </c>
      <c r="H978" s="99"/>
      <c r="I978" s="100">
        <v>12000</v>
      </c>
      <c r="J978" s="99"/>
      <c r="K978" s="99"/>
      <c r="L978" s="89">
        <f t="shared" si="30"/>
        <v>12000</v>
      </c>
      <c r="M978" s="87">
        <f t="shared" si="31"/>
        <v>12000</v>
      </c>
      <c r="N978" s="99"/>
      <c r="O978" s="99"/>
      <c r="P978" s="48">
        <v>41183</v>
      </c>
      <c r="Q978" s="48">
        <v>41640</v>
      </c>
      <c r="R978" s="49">
        <v>11798</v>
      </c>
    </row>
    <row r="979" spans="1:18" s="1" customFormat="1" ht="51" x14ac:dyDescent="0.2">
      <c r="A979" s="45" t="s">
        <v>2909</v>
      </c>
      <c r="B979" s="57">
        <v>24413</v>
      </c>
      <c r="C979" s="60" t="s">
        <v>43</v>
      </c>
      <c r="D979" s="60" t="s">
        <v>2910</v>
      </c>
      <c r="E979" s="50" t="s">
        <v>2360</v>
      </c>
      <c r="F979" s="50" t="s">
        <v>167</v>
      </c>
      <c r="G979" s="60" t="s">
        <v>2911</v>
      </c>
      <c r="H979" s="99"/>
      <c r="I979" s="100">
        <v>15000</v>
      </c>
      <c r="J979" s="99"/>
      <c r="K979" s="99"/>
      <c r="L979" s="89">
        <f t="shared" si="30"/>
        <v>15000</v>
      </c>
      <c r="M979" s="87">
        <f t="shared" si="31"/>
        <v>15000</v>
      </c>
      <c r="N979" s="99"/>
      <c r="O979" s="99"/>
      <c r="P979" s="48">
        <v>41183</v>
      </c>
      <c r="Q979" s="48">
        <v>41640</v>
      </c>
      <c r="R979" s="49">
        <v>11799</v>
      </c>
    </row>
    <row r="980" spans="1:18" s="1" customFormat="1" ht="38.25" x14ac:dyDescent="0.2">
      <c r="A980" s="45" t="s">
        <v>2912</v>
      </c>
      <c r="B980" s="57">
        <v>24598</v>
      </c>
      <c r="C980" s="60" t="s">
        <v>43</v>
      </c>
      <c r="D980" s="60" t="s">
        <v>2913</v>
      </c>
      <c r="E980" s="50" t="s">
        <v>2360</v>
      </c>
      <c r="F980" s="50" t="s">
        <v>167</v>
      </c>
      <c r="G980" s="60" t="s">
        <v>2914</v>
      </c>
      <c r="H980" s="99"/>
      <c r="I980" s="100">
        <v>15000</v>
      </c>
      <c r="J980" s="99"/>
      <c r="K980" s="99"/>
      <c r="L980" s="89">
        <f t="shared" si="30"/>
        <v>15000</v>
      </c>
      <c r="M980" s="87">
        <f t="shared" si="31"/>
        <v>15000</v>
      </c>
      <c r="N980" s="99"/>
      <c r="O980" s="99"/>
      <c r="P980" s="48">
        <v>41183</v>
      </c>
      <c r="Q980" s="48">
        <v>41640</v>
      </c>
      <c r="R980" s="49">
        <v>11800</v>
      </c>
    </row>
    <row r="981" spans="1:18" s="1" customFormat="1" ht="63.75" x14ac:dyDescent="0.2">
      <c r="A981" s="45" t="s">
        <v>2915</v>
      </c>
      <c r="B981" s="57">
        <v>25013</v>
      </c>
      <c r="C981" s="60" t="s">
        <v>43</v>
      </c>
      <c r="D981" s="60" t="s">
        <v>2916</v>
      </c>
      <c r="E981" s="50" t="s">
        <v>2360</v>
      </c>
      <c r="F981" s="50" t="s">
        <v>167</v>
      </c>
      <c r="G981" s="60" t="s">
        <v>2917</v>
      </c>
      <c r="H981" s="99"/>
      <c r="I981" s="100">
        <v>15000</v>
      </c>
      <c r="J981" s="99"/>
      <c r="K981" s="99"/>
      <c r="L981" s="89">
        <f t="shared" si="30"/>
        <v>15000</v>
      </c>
      <c r="M981" s="87">
        <f t="shared" si="31"/>
        <v>15000</v>
      </c>
      <c r="N981" s="99"/>
      <c r="O981" s="99"/>
      <c r="P981" s="48">
        <v>41183</v>
      </c>
      <c r="Q981" s="48">
        <v>41640</v>
      </c>
      <c r="R981" s="49">
        <v>11802</v>
      </c>
    </row>
    <row r="982" spans="1:18" s="1" customFormat="1" ht="63.75" x14ac:dyDescent="0.2">
      <c r="A982" s="45" t="s">
        <v>2918</v>
      </c>
      <c r="B982" s="57">
        <v>25024</v>
      </c>
      <c r="C982" s="60" t="s">
        <v>43</v>
      </c>
      <c r="D982" s="60" t="s">
        <v>2919</v>
      </c>
      <c r="E982" s="50" t="s">
        <v>2360</v>
      </c>
      <c r="F982" s="50" t="s">
        <v>398</v>
      </c>
      <c r="G982" s="60" t="s">
        <v>2920</v>
      </c>
      <c r="H982" s="99"/>
      <c r="I982" s="100">
        <v>15000</v>
      </c>
      <c r="J982" s="99"/>
      <c r="K982" s="99"/>
      <c r="L982" s="89">
        <f t="shared" si="30"/>
        <v>15000</v>
      </c>
      <c r="M982" s="87">
        <f t="shared" si="31"/>
        <v>15000</v>
      </c>
      <c r="N982" s="99"/>
      <c r="O982" s="99"/>
      <c r="P982" s="48">
        <v>41183</v>
      </c>
      <c r="Q982" s="48">
        <v>41640</v>
      </c>
      <c r="R982" s="49">
        <v>11810</v>
      </c>
    </row>
    <row r="983" spans="1:18" s="1" customFormat="1" ht="51" x14ac:dyDescent="0.2">
      <c r="A983" s="45" t="s">
        <v>2921</v>
      </c>
      <c r="B983" s="57">
        <v>16897</v>
      </c>
      <c r="C983" s="60" t="s">
        <v>43</v>
      </c>
      <c r="D983" s="60" t="s">
        <v>2922</v>
      </c>
      <c r="E983" s="50" t="s">
        <v>2360</v>
      </c>
      <c r="F983" s="50" t="s">
        <v>45</v>
      </c>
      <c r="G983" s="60" t="s">
        <v>2923</v>
      </c>
      <c r="H983" s="99"/>
      <c r="I983" s="100">
        <v>15000</v>
      </c>
      <c r="J983" s="99"/>
      <c r="K983" s="99"/>
      <c r="L983" s="89">
        <f t="shared" si="30"/>
        <v>15000</v>
      </c>
      <c r="M983" s="87">
        <f t="shared" si="31"/>
        <v>15000</v>
      </c>
      <c r="N983" s="99"/>
      <c r="O983" s="99"/>
      <c r="P983" s="48">
        <v>41183</v>
      </c>
      <c r="Q983" s="48">
        <v>41640</v>
      </c>
      <c r="R983" s="49">
        <v>11822</v>
      </c>
    </row>
    <row r="984" spans="1:18" s="1" customFormat="1" ht="38.25" x14ac:dyDescent="0.2">
      <c r="A984" s="45" t="s">
        <v>2924</v>
      </c>
      <c r="B984" s="57">
        <v>25098</v>
      </c>
      <c r="C984" s="60" t="s">
        <v>43</v>
      </c>
      <c r="D984" s="60" t="s">
        <v>2925</v>
      </c>
      <c r="E984" s="50" t="s">
        <v>2360</v>
      </c>
      <c r="F984" s="50" t="s">
        <v>45</v>
      </c>
      <c r="G984" s="60" t="s">
        <v>2926</v>
      </c>
      <c r="H984" s="99"/>
      <c r="I984" s="100">
        <v>15000</v>
      </c>
      <c r="J984" s="99"/>
      <c r="K984" s="99"/>
      <c r="L984" s="89">
        <f t="shared" si="30"/>
        <v>15000</v>
      </c>
      <c r="M984" s="87">
        <f t="shared" si="31"/>
        <v>15000</v>
      </c>
      <c r="N984" s="99"/>
      <c r="O984" s="99"/>
      <c r="P984" s="48">
        <v>41183</v>
      </c>
      <c r="Q984" s="48">
        <v>41640</v>
      </c>
      <c r="R984" s="49">
        <v>11816</v>
      </c>
    </row>
    <row r="985" spans="1:18" s="1" customFormat="1" ht="38.25" x14ac:dyDescent="0.2">
      <c r="A985" s="45" t="s">
        <v>2927</v>
      </c>
      <c r="B985" s="57">
        <v>23598</v>
      </c>
      <c r="C985" s="60" t="s">
        <v>43</v>
      </c>
      <c r="D985" s="60" t="s">
        <v>1371</v>
      </c>
      <c r="E985" s="50" t="s">
        <v>2360</v>
      </c>
      <c r="F985" s="50" t="s">
        <v>22</v>
      </c>
      <c r="G985" s="60" t="s">
        <v>2928</v>
      </c>
      <c r="H985" s="99"/>
      <c r="I985" s="100">
        <v>15000</v>
      </c>
      <c r="J985" s="99"/>
      <c r="K985" s="99"/>
      <c r="L985" s="89">
        <f t="shared" si="30"/>
        <v>15000</v>
      </c>
      <c r="M985" s="87">
        <f t="shared" si="31"/>
        <v>15000</v>
      </c>
      <c r="N985" s="99"/>
      <c r="O985" s="99"/>
      <c r="P985" s="48">
        <v>41183</v>
      </c>
      <c r="Q985" s="48">
        <v>41640</v>
      </c>
      <c r="R985" s="49">
        <v>11784</v>
      </c>
    </row>
    <row r="986" spans="1:18" s="1" customFormat="1" ht="51" x14ac:dyDescent="0.2">
      <c r="A986" s="45" t="s">
        <v>2929</v>
      </c>
      <c r="B986" s="57">
        <v>22393</v>
      </c>
      <c r="C986" s="60" t="s">
        <v>43</v>
      </c>
      <c r="D986" s="60" t="s">
        <v>2930</v>
      </c>
      <c r="E986" s="50" t="s">
        <v>2360</v>
      </c>
      <c r="F986" s="50" t="s">
        <v>109</v>
      </c>
      <c r="G986" s="60" t="s">
        <v>2931</v>
      </c>
      <c r="H986" s="99"/>
      <c r="I986" s="100">
        <v>15000</v>
      </c>
      <c r="J986" s="99"/>
      <c r="K986" s="99"/>
      <c r="L986" s="89">
        <f t="shared" si="30"/>
        <v>15000</v>
      </c>
      <c r="M986" s="87">
        <f t="shared" si="31"/>
        <v>15000</v>
      </c>
      <c r="N986" s="99"/>
      <c r="O986" s="99"/>
      <c r="P986" s="48">
        <v>41183</v>
      </c>
      <c r="Q986" s="48">
        <v>41640</v>
      </c>
      <c r="R986" s="49">
        <v>11786</v>
      </c>
    </row>
    <row r="987" spans="1:18" s="1" customFormat="1" ht="38.25" x14ac:dyDescent="0.2">
      <c r="A987" s="45" t="s">
        <v>2932</v>
      </c>
      <c r="B987" s="57">
        <v>25336</v>
      </c>
      <c r="C987" s="60" t="s">
        <v>43</v>
      </c>
      <c r="D987" s="60" t="s">
        <v>2933</v>
      </c>
      <c r="E987" s="50" t="s">
        <v>2360</v>
      </c>
      <c r="F987" s="50" t="s">
        <v>22</v>
      </c>
      <c r="G987" s="60" t="s">
        <v>2934</v>
      </c>
      <c r="H987" s="99"/>
      <c r="I987" s="100">
        <v>15000</v>
      </c>
      <c r="J987" s="99"/>
      <c r="K987" s="99"/>
      <c r="L987" s="89">
        <f t="shared" si="30"/>
        <v>15000</v>
      </c>
      <c r="M987" s="87">
        <f t="shared" si="31"/>
        <v>15000</v>
      </c>
      <c r="N987" s="99"/>
      <c r="O987" s="99"/>
      <c r="P987" s="48">
        <v>41183</v>
      </c>
      <c r="Q987" s="48">
        <v>41640</v>
      </c>
      <c r="R987" s="49">
        <v>11817</v>
      </c>
    </row>
    <row r="988" spans="1:18" s="1" customFormat="1" ht="38.25" x14ac:dyDescent="0.2">
      <c r="A988" s="45" t="s">
        <v>2935</v>
      </c>
      <c r="B988" s="57">
        <v>25193</v>
      </c>
      <c r="C988" s="60" t="s">
        <v>43</v>
      </c>
      <c r="D988" s="60" t="s">
        <v>2936</v>
      </c>
      <c r="E988" s="50" t="s">
        <v>2360</v>
      </c>
      <c r="F988" s="50" t="s">
        <v>167</v>
      </c>
      <c r="G988" s="60" t="s">
        <v>2937</v>
      </c>
      <c r="H988" s="99"/>
      <c r="I988" s="100">
        <v>15000</v>
      </c>
      <c r="J988" s="99"/>
      <c r="K988" s="99"/>
      <c r="L988" s="89">
        <f t="shared" si="30"/>
        <v>15000</v>
      </c>
      <c r="M988" s="87">
        <f t="shared" si="31"/>
        <v>15000</v>
      </c>
      <c r="N988" s="99"/>
      <c r="O988" s="99"/>
      <c r="P988" s="48">
        <v>41183</v>
      </c>
      <c r="Q988" s="48">
        <v>41640</v>
      </c>
      <c r="R988" s="49">
        <v>11701</v>
      </c>
    </row>
    <row r="989" spans="1:18" s="1" customFormat="1" ht="63.75" x14ac:dyDescent="0.2">
      <c r="A989" s="45" t="s">
        <v>2938</v>
      </c>
      <c r="B989" s="57">
        <v>19230</v>
      </c>
      <c r="C989" s="60" t="s">
        <v>43</v>
      </c>
      <c r="D989" s="60" t="s">
        <v>2939</v>
      </c>
      <c r="E989" s="50" t="s">
        <v>2360</v>
      </c>
      <c r="F989" s="50" t="s">
        <v>121</v>
      </c>
      <c r="G989" s="60" t="s">
        <v>2940</v>
      </c>
      <c r="H989" s="99"/>
      <c r="I989" s="100">
        <v>15000</v>
      </c>
      <c r="J989" s="99"/>
      <c r="K989" s="99"/>
      <c r="L989" s="89">
        <f t="shared" si="30"/>
        <v>15000</v>
      </c>
      <c r="M989" s="87">
        <f t="shared" si="31"/>
        <v>15000</v>
      </c>
      <c r="N989" s="99"/>
      <c r="O989" s="99"/>
      <c r="P989" s="48">
        <v>41183</v>
      </c>
      <c r="Q989" s="48">
        <v>41640</v>
      </c>
      <c r="R989" s="49">
        <v>11710</v>
      </c>
    </row>
    <row r="990" spans="1:18" s="1" customFormat="1" ht="38.25" x14ac:dyDescent="0.2">
      <c r="A990" s="45" t="s">
        <v>2941</v>
      </c>
      <c r="B990" s="57">
        <v>16455</v>
      </c>
      <c r="C990" s="60" t="s">
        <v>43</v>
      </c>
      <c r="D990" s="60" t="s">
        <v>2942</v>
      </c>
      <c r="E990" s="50" t="s">
        <v>2360</v>
      </c>
      <c r="F990" s="50" t="s">
        <v>98</v>
      </c>
      <c r="G990" s="60" t="s">
        <v>2943</v>
      </c>
      <c r="H990" s="99"/>
      <c r="I990" s="100">
        <v>15000</v>
      </c>
      <c r="J990" s="99"/>
      <c r="K990" s="99"/>
      <c r="L990" s="89">
        <f t="shared" si="30"/>
        <v>15000</v>
      </c>
      <c r="M990" s="87">
        <f t="shared" si="31"/>
        <v>15000</v>
      </c>
      <c r="N990" s="99"/>
      <c r="O990" s="99"/>
      <c r="P990" s="48">
        <v>41183</v>
      </c>
      <c r="Q990" s="48">
        <v>41640</v>
      </c>
      <c r="R990" s="49">
        <v>11702</v>
      </c>
    </row>
    <row r="991" spans="1:18" s="1" customFormat="1" ht="51" x14ac:dyDescent="0.2">
      <c r="A991" s="45" t="s">
        <v>2944</v>
      </c>
      <c r="B991" s="57">
        <v>12523</v>
      </c>
      <c r="C991" s="60" t="s">
        <v>43</v>
      </c>
      <c r="D991" s="60" t="s">
        <v>163</v>
      </c>
      <c r="E991" s="50" t="s">
        <v>2360</v>
      </c>
      <c r="F991" s="50" t="s">
        <v>98</v>
      </c>
      <c r="G991" s="60" t="s">
        <v>2945</v>
      </c>
      <c r="H991" s="99"/>
      <c r="I991" s="100">
        <v>15000</v>
      </c>
      <c r="J991" s="99"/>
      <c r="K991" s="99"/>
      <c r="L991" s="89">
        <f t="shared" si="30"/>
        <v>15000</v>
      </c>
      <c r="M991" s="87">
        <f t="shared" si="31"/>
        <v>15000</v>
      </c>
      <c r="N991" s="99"/>
      <c r="O991" s="99"/>
      <c r="P991" s="48">
        <v>41183</v>
      </c>
      <c r="Q991" s="48">
        <v>41640</v>
      </c>
      <c r="R991" s="49">
        <v>11493</v>
      </c>
    </row>
    <row r="992" spans="1:18" s="1" customFormat="1" ht="51" x14ac:dyDescent="0.2">
      <c r="A992" s="45" t="s">
        <v>2946</v>
      </c>
      <c r="B992" s="57">
        <v>25267</v>
      </c>
      <c r="C992" s="60" t="s">
        <v>43</v>
      </c>
      <c r="D992" s="60" t="s">
        <v>1284</v>
      </c>
      <c r="E992" s="50" t="s">
        <v>2360</v>
      </c>
      <c r="F992" s="50" t="s">
        <v>94</v>
      </c>
      <c r="G992" s="60" t="s">
        <v>2947</v>
      </c>
      <c r="H992" s="99"/>
      <c r="I992" s="100">
        <v>15000</v>
      </c>
      <c r="J992" s="99"/>
      <c r="K992" s="99"/>
      <c r="L992" s="89">
        <f t="shared" si="30"/>
        <v>15000</v>
      </c>
      <c r="M992" s="87">
        <f t="shared" si="31"/>
        <v>15000</v>
      </c>
      <c r="N992" s="99"/>
      <c r="O992" s="99"/>
      <c r="P992" s="48">
        <v>41183</v>
      </c>
      <c r="Q992" s="48">
        <v>41640</v>
      </c>
      <c r="R992" s="49">
        <v>11494</v>
      </c>
    </row>
    <row r="993" spans="1:18" s="1" customFormat="1" ht="76.5" x14ac:dyDescent="0.2">
      <c r="A993" s="45" t="s">
        <v>2948</v>
      </c>
      <c r="B993" s="57">
        <v>25240</v>
      </c>
      <c r="C993" s="60" t="s">
        <v>43</v>
      </c>
      <c r="D993" s="60" t="s">
        <v>2949</v>
      </c>
      <c r="E993" s="50" t="s">
        <v>2360</v>
      </c>
      <c r="F993" s="50" t="s">
        <v>94</v>
      </c>
      <c r="G993" s="60" t="s">
        <v>2950</v>
      </c>
      <c r="H993" s="99"/>
      <c r="I993" s="100">
        <v>15000</v>
      </c>
      <c r="J993" s="99"/>
      <c r="K993" s="99"/>
      <c r="L993" s="89">
        <f t="shared" si="30"/>
        <v>15000</v>
      </c>
      <c r="M993" s="87">
        <f t="shared" si="31"/>
        <v>15000</v>
      </c>
      <c r="N993" s="99"/>
      <c r="O993" s="99"/>
      <c r="P993" s="48">
        <v>41183</v>
      </c>
      <c r="Q993" s="48">
        <v>41640</v>
      </c>
      <c r="R993" s="49">
        <v>11700</v>
      </c>
    </row>
    <row r="994" spans="1:18" s="1" customFormat="1" ht="89.25" x14ac:dyDescent="0.2">
      <c r="A994" s="45" t="s">
        <v>2951</v>
      </c>
      <c r="B994" s="57">
        <v>25106</v>
      </c>
      <c r="C994" s="60" t="s">
        <v>43</v>
      </c>
      <c r="D994" s="60" t="s">
        <v>2952</v>
      </c>
      <c r="E994" s="50" t="s">
        <v>2360</v>
      </c>
      <c r="F994" s="50" t="s">
        <v>94</v>
      </c>
      <c r="G994" s="60" t="s">
        <v>2953</v>
      </c>
      <c r="H994" s="99"/>
      <c r="I994" s="100">
        <v>15000</v>
      </c>
      <c r="J994" s="99"/>
      <c r="K994" s="99"/>
      <c r="L994" s="89">
        <f t="shared" si="30"/>
        <v>15000</v>
      </c>
      <c r="M994" s="87">
        <f t="shared" si="31"/>
        <v>15000</v>
      </c>
      <c r="N994" s="99"/>
      <c r="O994" s="99"/>
      <c r="P994" s="48">
        <v>41183</v>
      </c>
      <c r="Q994" s="48">
        <v>41640</v>
      </c>
      <c r="R994" s="49">
        <v>11713</v>
      </c>
    </row>
    <row r="995" spans="1:18" s="1" customFormat="1" ht="38.25" x14ac:dyDescent="0.2">
      <c r="A995" s="45" t="s">
        <v>2954</v>
      </c>
      <c r="B995" s="57">
        <v>25103</v>
      </c>
      <c r="C995" s="60" t="s">
        <v>43</v>
      </c>
      <c r="D995" s="60" t="s">
        <v>1376</v>
      </c>
      <c r="E995" s="50" t="s">
        <v>2360</v>
      </c>
      <c r="F995" s="50" t="s">
        <v>94</v>
      </c>
      <c r="G995" s="60" t="s">
        <v>2955</v>
      </c>
      <c r="H995" s="99"/>
      <c r="I995" s="100">
        <v>15000</v>
      </c>
      <c r="J995" s="99"/>
      <c r="K995" s="99"/>
      <c r="L995" s="89">
        <f t="shared" si="30"/>
        <v>15000</v>
      </c>
      <c r="M995" s="87">
        <f t="shared" si="31"/>
        <v>15000</v>
      </c>
      <c r="N995" s="99"/>
      <c r="O995" s="99"/>
      <c r="P995" s="48">
        <v>41183</v>
      </c>
      <c r="Q995" s="48">
        <v>41640</v>
      </c>
      <c r="R995" s="49">
        <v>11712</v>
      </c>
    </row>
    <row r="996" spans="1:18" s="1" customFormat="1" ht="25.5" x14ac:dyDescent="0.2">
      <c r="A996" s="45" t="s">
        <v>2956</v>
      </c>
      <c r="B996" s="64">
        <v>32848</v>
      </c>
      <c r="C996" s="50" t="s">
        <v>2957</v>
      </c>
      <c r="D996" s="50" t="s">
        <v>2958</v>
      </c>
      <c r="E996" s="50" t="s">
        <v>308</v>
      </c>
      <c r="F996" s="50" t="s">
        <v>98</v>
      </c>
      <c r="G996" s="50" t="s">
        <v>2959</v>
      </c>
      <c r="H996" s="88">
        <v>10740</v>
      </c>
      <c r="I996" s="88"/>
      <c r="J996" s="89"/>
      <c r="K996" s="89"/>
      <c r="L996" s="89">
        <f t="shared" si="30"/>
        <v>10740</v>
      </c>
      <c r="M996" s="87">
        <f t="shared" si="31"/>
        <v>10740</v>
      </c>
      <c r="N996" s="99"/>
      <c r="O996" s="99"/>
      <c r="P996" s="48">
        <v>41197</v>
      </c>
      <c r="Q996" s="48">
        <v>41379</v>
      </c>
      <c r="R996" s="49">
        <v>11923</v>
      </c>
    </row>
    <row r="997" spans="1:18" s="1" customFormat="1" ht="38.25" x14ac:dyDescent="0.2">
      <c r="A997" s="45" t="s">
        <v>2960</v>
      </c>
      <c r="B997" s="64">
        <v>32827</v>
      </c>
      <c r="C997" s="50" t="s">
        <v>1599</v>
      </c>
      <c r="D997" s="50" t="s">
        <v>2961</v>
      </c>
      <c r="E997" s="80" t="s">
        <v>308</v>
      </c>
      <c r="F997" s="50" t="s">
        <v>98</v>
      </c>
      <c r="G997" s="50" t="s">
        <v>2962</v>
      </c>
      <c r="H997" s="88">
        <v>6209.8</v>
      </c>
      <c r="I997" s="88"/>
      <c r="J997" s="89"/>
      <c r="K997" s="89"/>
      <c r="L997" s="89">
        <f t="shared" si="30"/>
        <v>6209.8</v>
      </c>
      <c r="M997" s="87">
        <f t="shared" si="31"/>
        <v>6209.8</v>
      </c>
      <c r="N997" s="89"/>
      <c r="O997" s="89"/>
      <c r="P997" s="48">
        <v>41183</v>
      </c>
      <c r="Q997" s="48">
        <v>41365</v>
      </c>
      <c r="R997" s="49">
        <v>1011</v>
      </c>
    </row>
    <row r="998" spans="1:18" s="1" customFormat="1" ht="25.5" x14ac:dyDescent="0.2">
      <c r="A998" s="45" t="s">
        <v>2963</v>
      </c>
      <c r="B998" s="64">
        <v>32932</v>
      </c>
      <c r="C998" s="50" t="s">
        <v>1599</v>
      </c>
      <c r="D998" s="50" t="s">
        <v>2241</v>
      </c>
      <c r="E998" s="80" t="s">
        <v>308</v>
      </c>
      <c r="F998" s="50" t="s">
        <v>98</v>
      </c>
      <c r="G998" s="50" t="s">
        <v>2964</v>
      </c>
      <c r="H998" s="88">
        <v>10272</v>
      </c>
      <c r="I998" s="88"/>
      <c r="J998" s="89"/>
      <c r="K998" s="89"/>
      <c r="L998" s="89">
        <f t="shared" si="30"/>
        <v>10272</v>
      </c>
      <c r="M998" s="87">
        <f t="shared" si="31"/>
        <v>10272</v>
      </c>
      <c r="N998" s="89"/>
      <c r="O998" s="89"/>
      <c r="P998" s="48">
        <v>41183</v>
      </c>
      <c r="Q998" s="48">
        <v>41365</v>
      </c>
      <c r="R998" s="49">
        <v>11503</v>
      </c>
    </row>
    <row r="999" spans="1:18" s="1" customFormat="1" ht="25.5" x14ac:dyDescent="0.2">
      <c r="A999" s="45" t="s">
        <v>2965</v>
      </c>
      <c r="B999" s="64">
        <v>33012</v>
      </c>
      <c r="C999" s="50" t="s">
        <v>414</v>
      </c>
      <c r="D999" s="50" t="s">
        <v>471</v>
      </c>
      <c r="E999" s="80" t="s">
        <v>308</v>
      </c>
      <c r="F999" s="50" t="s">
        <v>87</v>
      </c>
      <c r="G999" s="50" t="s">
        <v>2966</v>
      </c>
      <c r="H999" s="88">
        <v>12898</v>
      </c>
      <c r="I999" s="88"/>
      <c r="J999" s="89"/>
      <c r="K999" s="89"/>
      <c r="L999" s="89">
        <f t="shared" si="30"/>
        <v>12898</v>
      </c>
      <c r="M999" s="87">
        <f t="shared" si="31"/>
        <v>12898</v>
      </c>
      <c r="N999" s="89"/>
      <c r="O999" s="89"/>
      <c r="P999" s="48">
        <v>41192</v>
      </c>
      <c r="Q999" s="48">
        <v>41374</v>
      </c>
      <c r="R999" s="49">
        <v>11959</v>
      </c>
    </row>
    <row r="1000" spans="1:18" s="1" customFormat="1" ht="38.25" x14ac:dyDescent="0.2">
      <c r="A1000" s="45" t="s">
        <v>2967</v>
      </c>
      <c r="B1000" s="64">
        <v>1592</v>
      </c>
      <c r="C1000" s="50" t="s">
        <v>470</v>
      </c>
      <c r="D1000" s="50" t="s">
        <v>2407</v>
      </c>
      <c r="E1000" s="80" t="s">
        <v>308</v>
      </c>
      <c r="F1000" s="50" t="s">
        <v>167</v>
      </c>
      <c r="G1000" s="50" t="s">
        <v>2968</v>
      </c>
      <c r="H1000" s="88">
        <v>9180</v>
      </c>
      <c r="I1000" s="88"/>
      <c r="J1000" s="89"/>
      <c r="K1000" s="89"/>
      <c r="L1000" s="89">
        <f t="shared" si="30"/>
        <v>9180</v>
      </c>
      <c r="M1000" s="87">
        <f t="shared" si="31"/>
        <v>9180</v>
      </c>
      <c r="N1000" s="89"/>
      <c r="O1000" s="89"/>
      <c r="P1000" s="48">
        <v>41180</v>
      </c>
      <c r="Q1000" s="68">
        <v>41333</v>
      </c>
      <c r="R1000" s="49">
        <v>11289</v>
      </c>
    </row>
    <row r="1001" spans="1:18" s="1" customFormat="1" ht="25.5" x14ac:dyDescent="0.2">
      <c r="A1001" s="45" t="s">
        <v>2969</v>
      </c>
      <c r="B1001" s="64">
        <v>32999</v>
      </c>
      <c r="C1001" s="50" t="s">
        <v>457</v>
      </c>
      <c r="D1001" s="50" t="s">
        <v>2250</v>
      </c>
      <c r="E1001" s="80" t="s">
        <v>308</v>
      </c>
      <c r="F1001" s="50" t="s">
        <v>98</v>
      </c>
      <c r="G1001" s="50" t="s">
        <v>2970</v>
      </c>
      <c r="H1001" s="88">
        <v>3120</v>
      </c>
      <c r="I1001" s="88"/>
      <c r="J1001" s="89"/>
      <c r="K1001" s="89"/>
      <c r="L1001" s="89">
        <f t="shared" si="30"/>
        <v>3120</v>
      </c>
      <c r="M1001" s="87">
        <f t="shared" si="31"/>
        <v>3120</v>
      </c>
      <c r="N1001" s="89"/>
      <c r="O1001" s="89"/>
      <c r="P1001" s="48">
        <v>41193</v>
      </c>
      <c r="Q1001" s="68">
        <v>41375</v>
      </c>
      <c r="R1001" s="49">
        <v>11967</v>
      </c>
    </row>
    <row r="1002" spans="1:18" s="1" customFormat="1" ht="25.5" x14ac:dyDescent="0.2">
      <c r="A1002" s="45" t="s">
        <v>2971</v>
      </c>
      <c r="B1002" s="45">
        <v>1497</v>
      </c>
      <c r="C1002" s="50" t="s">
        <v>53</v>
      </c>
      <c r="D1002" s="50" t="s">
        <v>2972</v>
      </c>
      <c r="E1002" s="80" t="s">
        <v>308</v>
      </c>
      <c r="F1002" s="50" t="s">
        <v>63</v>
      </c>
      <c r="G1002" s="50" t="s">
        <v>2973</v>
      </c>
      <c r="H1002" s="88">
        <v>9520</v>
      </c>
      <c r="I1002" s="88"/>
      <c r="J1002" s="89"/>
      <c r="K1002" s="89"/>
      <c r="L1002" s="89">
        <f t="shared" si="30"/>
        <v>9520</v>
      </c>
      <c r="M1002" s="87">
        <f t="shared" si="31"/>
        <v>9520</v>
      </c>
      <c r="N1002" s="89"/>
      <c r="O1002" s="89"/>
      <c r="P1002" s="48">
        <v>41177</v>
      </c>
      <c r="Q1002" s="68">
        <v>41358</v>
      </c>
      <c r="R1002" s="49">
        <v>11314</v>
      </c>
    </row>
    <row r="1003" spans="1:18" s="1" customFormat="1" ht="25.5" x14ac:dyDescent="0.2">
      <c r="A1003" s="45" t="s">
        <v>2974</v>
      </c>
      <c r="B1003" s="64">
        <v>32737</v>
      </c>
      <c r="C1003" s="50" t="s">
        <v>407</v>
      </c>
      <c r="D1003" s="50" t="s">
        <v>2975</v>
      </c>
      <c r="E1003" s="80" t="s">
        <v>308</v>
      </c>
      <c r="F1003" s="50" t="s">
        <v>98</v>
      </c>
      <c r="G1003" s="50" t="s">
        <v>2976</v>
      </c>
      <c r="H1003" s="88">
        <v>2062</v>
      </c>
      <c r="I1003" s="88"/>
      <c r="J1003" s="89"/>
      <c r="K1003" s="89"/>
      <c r="L1003" s="89">
        <f t="shared" si="30"/>
        <v>2062</v>
      </c>
      <c r="M1003" s="87">
        <f t="shared" si="31"/>
        <v>2062</v>
      </c>
      <c r="N1003" s="89"/>
      <c r="O1003" s="89"/>
      <c r="P1003" s="48">
        <v>41185</v>
      </c>
      <c r="Q1003" s="68">
        <v>41367</v>
      </c>
      <c r="R1003" s="49">
        <v>11306</v>
      </c>
    </row>
    <row r="1004" spans="1:18" s="1" customFormat="1" ht="25.5" x14ac:dyDescent="0.2">
      <c r="A1004" s="45" t="s">
        <v>2977</v>
      </c>
      <c r="B1004" s="64">
        <v>32986</v>
      </c>
      <c r="C1004" s="50" t="s">
        <v>574</v>
      </c>
      <c r="D1004" s="50" t="s">
        <v>2978</v>
      </c>
      <c r="E1004" s="80" t="s">
        <v>308</v>
      </c>
      <c r="F1004" s="50" t="s">
        <v>45</v>
      </c>
      <c r="G1004" s="50" t="s">
        <v>2979</v>
      </c>
      <c r="H1004" s="88">
        <v>4982.5</v>
      </c>
      <c r="I1004" s="88"/>
      <c r="J1004" s="89"/>
      <c r="K1004" s="89"/>
      <c r="L1004" s="89">
        <f t="shared" si="30"/>
        <v>4982.5</v>
      </c>
      <c r="M1004" s="87">
        <f t="shared" si="31"/>
        <v>4982.5</v>
      </c>
      <c r="N1004" s="89"/>
      <c r="O1004" s="89"/>
      <c r="P1004" s="48">
        <v>41185</v>
      </c>
      <c r="Q1004" s="68">
        <v>41489</v>
      </c>
      <c r="R1004" s="49">
        <v>11309</v>
      </c>
    </row>
    <row r="1005" spans="1:18" s="1" customFormat="1" ht="38.25" x14ac:dyDescent="0.2">
      <c r="A1005" s="45" t="s">
        <v>2980</v>
      </c>
      <c r="B1005" s="64">
        <v>32623</v>
      </c>
      <c r="C1005" s="50" t="s">
        <v>574</v>
      </c>
      <c r="D1005" s="50" t="s">
        <v>2981</v>
      </c>
      <c r="E1005" s="80" t="s">
        <v>308</v>
      </c>
      <c r="F1005" s="50" t="s">
        <v>87</v>
      </c>
      <c r="G1005" s="50" t="s">
        <v>2982</v>
      </c>
      <c r="H1005" s="88">
        <v>10370</v>
      </c>
      <c r="I1005" s="88"/>
      <c r="J1005" s="89"/>
      <c r="K1005" s="89"/>
      <c r="L1005" s="89">
        <f t="shared" si="30"/>
        <v>10370</v>
      </c>
      <c r="M1005" s="87">
        <f t="shared" si="31"/>
        <v>10370</v>
      </c>
      <c r="N1005" s="89"/>
      <c r="O1005" s="89"/>
      <c r="P1005" s="48">
        <v>41183</v>
      </c>
      <c r="Q1005" s="68">
        <v>41365</v>
      </c>
      <c r="R1005" s="49">
        <v>11363</v>
      </c>
    </row>
    <row r="1006" spans="1:18" s="1" customFormat="1" ht="38.25" x14ac:dyDescent="0.2">
      <c r="A1006" s="45" t="s">
        <v>2983</v>
      </c>
      <c r="B1006" s="64">
        <v>32968</v>
      </c>
      <c r="C1006" s="50" t="s">
        <v>507</v>
      </c>
      <c r="D1006" s="50" t="s">
        <v>2984</v>
      </c>
      <c r="E1006" s="80" t="s">
        <v>308</v>
      </c>
      <c r="F1006" s="50" t="s">
        <v>22</v>
      </c>
      <c r="G1006" s="50" t="s">
        <v>2985</v>
      </c>
      <c r="H1006" s="88">
        <v>3358.7</v>
      </c>
      <c r="I1006" s="88"/>
      <c r="J1006" s="89"/>
      <c r="K1006" s="89"/>
      <c r="L1006" s="89">
        <f t="shared" si="30"/>
        <v>3358.7</v>
      </c>
      <c r="M1006" s="87">
        <f t="shared" si="31"/>
        <v>3358.7</v>
      </c>
      <c r="N1006" s="89"/>
      <c r="O1006" s="89"/>
      <c r="P1006" s="48">
        <v>41176</v>
      </c>
      <c r="Q1006" s="68">
        <v>41357</v>
      </c>
      <c r="R1006" s="49">
        <v>11357</v>
      </c>
    </row>
    <row r="1007" spans="1:18" s="1" customFormat="1" ht="25.5" x14ac:dyDescent="0.2">
      <c r="A1007" s="45" t="s">
        <v>2986</v>
      </c>
      <c r="B1007" s="64">
        <v>32690</v>
      </c>
      <c r="C1007" s="50" t="s">
        <v>2045</v>
      </c>
      <c r="D1007" s="50" t="s">
        <v>1912</v>
      </c>
      <c r="E1007" s="80" t="s">
        <v>308</v>
      </c>
      <c r="F1007" s="50" t="s">
        <v>98</v>
      </c>
      <c r="G1007" s="50" t="s">
        <v>2987</v>
      </c>
      <c r="H1007" s="88">
        <v>7694</v>
      </c>
      <c r="I1007" s="88"/>
      <c r="J1007" s="89"/>
      <c r="K1007" s="89"/>
      <c r="L1007" s="89">
        <f t="shared" si="30"/>
        <v>7694</v>
      </c>
      <c r="M1007" s="87">
        <f t="shared" si="31"/>
        <v>7694</v>
      </c>
      <c r="N1007" s="89"/>
      <c r="O1007" s="89"/>
      <c r="P1007" s="48">
        <v>41183</v>
      </c>
      <c r="Q1007" s="68">
        <v>41365</v>
      </c>
      <c r="R1007" s="49">
        <v>11355</v>
      </c>
    </row>
    <row r="1008" spans="1:18" s="1" customFormat="1" ht="38.25" x14ac:dyDescent="0.2">
      <c r="A1008" s="45" t="s">
        <v>2988</v>
      </c>
      <c r="B1008" s="64">
        <v>32915</v>
      </c>
      <c r="C1008" s="50" t="s">
        <v>369</v>
      </c>
      <c r="D1008" s="50" t="s">
        <v>2989</v>
      </c>
      <c r="E1008" s="80" t="s">
        <v>308</v>
      </c>
      <c r="F1008" s="50" t="s">
        <v>71</v>
      </c>
      <c r="G1008" s="50" t="s">
        <v>2990</v>
      </c>
      <c r="H1008" s="88">
        <v>7020</v>
      </c>
      <c r="I1008" s="88"/>
      <c r="J1008" s="89"/>
      <c r="K1008" s="89"/>
      <c r="L1008" s="89">
        <f t="shared" si="30"/>
        <v>7020</v>
      </c>
      <c r="M1008" s="87">
        <f t="shared" si="31"/>
        <v>7020</v>
      </c>
      <c r="N1008" s="89"/>
      <c r="O1008" s="89"/>
      <c r="P1008" s="48">
        <v>41183</v>
      </c>
      <c r="Q1008" s="68">
        <v>41365</v>
      </c>
      <c r="R1008" s="49">
        <v>11339</v>
      </c>
    </row>
    <row r="1009" spans="1:18" s="1" customFormat="1" ht="38.25" x14ac:dyDescent="0.2">
      <c r="A1009" s="45" t="s">
        <v>2991</v>
      </c>
      <c r="B1009" s="64">
        <v>1667</v>
      </c>
      <c r="C1009" s="50" t="s">
        <v>369</v>
      </c>
      <c r="D1009" s="50" t="s">
        <v>2992</v>
      </c>
      <c r="E1009" s="80" t="s">
        <v>308</v>
      </c>
      <c r="F1009" s="50" t="s">
        <v>109</v>
      </c>
      <c r="G1009" s="50" t="s">
        <v>2993</v>
      </c>
      <c r="H1009" s="88">
        <v>8422</v>
      </c>
      <c r="I1009" s="88"/>
      <c r="J1009" s="88"/>
      <c r="K1009" s="88"/>
      <c r="L1009" s="89">
        <f t="shared" si="30"/>
        <v>8422</v>
      </c>
      <c r="M1009" s="87">
        <f t="shared" si="31"/>
        <v>8422</v>
      </c>
      <c r="N1009" s="89"/>
      <c r="O1009" s="89"/>
      <c r="P1009" s="48">
        <v>41180</v>
      </c>
      <c r="Q1009" s="68">
        <v>41361</v>
      </c>
      <c r="R1009" s="49">
        <v>11956</v>
      </c>
    </row>
    <row r="1010" spans="1:18" s="1" customFormat="1" ht="25.5" x14ac:dyDescent="0.2">
      <c r="A1010" s="45" t="s">
        <v>2994</v>
      </c>
      <c r="B1010" s="64">
        <v>32624</v>
      </c>
      <c r="C1010" s="50" t="s">
        <v>66</v>
      </c>
      <c r="D1010" s="50" t="s">
        <v>2995</v>
      </c>
      <c r="E1010" s="80" t="s">
        <v>308</v>
      </c>
      <c r="F1010" s="50" t="s">
        <v>87</v>
      </c>
      <c r="G1010" s="50" t="s">
        <v>2996</v>
      </c>
      <c r="H1010" s="88">
        <v>5178</v>
      </c>
      <c r="I1010" s="88"/>
      <c r="J1010" s="89"/>
      <c r="K1010" s="89"/>
      <c r="L1010" s="89">
        <f t="shared" si="30"/>
        <v>5178</v>
      </c>
      <c r="M1010" s="87">
        <f t="shared" si="31"/>
        <v>5178</v>
      </c>
      <c r="N1010" s="89"/>
      <c r="O1010" s="89"/>
      <c r="P1010" s="48">
        <v>41187</v>
      </c>
      <c r="Q1010" s="68">
        <v>41369</v>
      </c>
      <c r="R1010" s="49">
        <v>11951</v>
      </c>
    </row>
    <row r="1011" spans="1:18" s="1" customFormat="1" ht="25.5" x14ac:dyDescent="0.2">
      <c r="A1011" s="45" t="s">
        <v>2997</v>
      </c>
      <c r="B1011" s="64">
        <v>32837</v>
      </c>
      <c r="C1011" s="50" t="s">
        <v>107</v>
      </c>
      <c r="D1011" s="50" t="s">
        <v>2998</v>
      </c>
      <c r="E1011" s="80" t="s">
        <v>308</v>
      </c>
      <c r="F1011" s="50" t="s">
        <v>98</v>
      </c>
      <c r="G1011" s="50" t="s">
        <v>2999</v>
      </c>
      <c r="H1011" s="88">
        <v>17550</v>
      </c>
      <c r="I1011" s="88"/>
      <c r="J1011" s="89"/>
      <c r="K1011" s="89"/>
      <c r="L1011" s="89">
        <f t="shared" si="30"/>
        <v>17550</v>
      </c>
      <c r="M1011" s="87">
        <f t="shared" si="31"/>
        <v>17550</v>
      </c>
      <c r="N1011" s="89"/>
      <c r="O1011" s="89"/>
      <c r="P1011" s="48">
        <v>41172</v>
      </c>
      <c r="Q1011" s="68">
        <v>41353</v>
      </c>
      <c r="R1011" s="49">
        <v>11351</v>
      </c>
    </row>
    <row r="1012" spans="1:18" s="1" customFormat="1" ht="25.5" x14ac:dyDescent="0.2">
      <c r="A1012" s="45" t="s">
        <v>3000</v>
      </c>
      <c r="B1012" s="64">
        <v>32703</v>
      </c>
      <c r="C1012" s="50" t="s">
        <v>107</v>
      </c>
      <c r="D1012" s="50" t="s">
        <v>3001</v>
      </c>
      <c r="E1012" s="80" t="s">
        <v>308</v>
      </c>
      <c r="F1012" s="50" t="s">
        <v>98</v>
      </c>
      <c r="G1012" s="50" t="s">
        <v>3002</v>
      </c>
      <c r="H1012" s="88">
        <v>16645.72</v>
      </c>
      <c r="I1012" s="88"/>
      <c r="J1012" s="89"/>
      <c r="K1012" s="89"/>
      <c r="L1012" s="89">
        <f t="shared" si="30"/>
        <v>16645.72</v>
      </c>
      <c r="M1012" s="87">
        <f t="shared" si="31"/>
        <v>16645.72</v>
      </c>
      <c r="N1012" s="89"/>
      <c r="O1012" s="89"/>
      <c r="P1012" s="48">
        <v>41180</v>
      </c>
      <c r="Q1012" s="68">
        <v>41361</v>
      </c>
      <c r="R1012" s="49">
        <v>11291</v>
      </c>
    </row>
    <row r="1013" spans="1:18" s="1" customFormat="1" ht="38.25" x14ac:dyDescent="0.2">
      <c r="A1013" s="45" t="s">
        <v>3003</v>
      </c>
      <c r="B1013" s="64">
        <v>32880</v>
      </c>
      <c r="C1013" s="50" t="s">
        <v>263</v>
      </c>
      <c r="D1013" s="50" t="s">
        <v>3004</v>
      </c>
      <c r="E1013" s="80" t="s">
        <v>308</v>
      </c>
      <c r="F1013" s="50" t="s">
        <v>98</v>
      </c>
      <c r="G1013" s="50" t="s">
        <v>3005</v>
      </c>
      <c r="H1013" s="88">
        <v>4360</v>
      </c>
      <c r="I1013" s="88"/>
      <c r="J1013" s="89"/>
      <c r="K1013" s="89"/>
      <c r="L1013" s="89">
        <f t="shared" si="30"/>
        <v>4360</v>
      </c>
      <c r="M1013" s="87">
        <f t="shared" si="31"/>
        <v>4360</v>
      </c>
      <c r="N1013" s="89"/>
      <c r="O1013" s="89"/>
      <c r="P1013" s="48">
        <v>41171</v>
      </c>
      <c r="Q1013" s="68">
        <v>41352</v>
      </c>
      <c r="R1013" s="49">
        <v>11343</v>
      </c>
    </row>
    <row r="1014" spans="1:18" s="1" customFormat="1" ht="25.5" x14ac:dyDescent="0.2">
      <c r="A1014" s="45" t="s">
        <v>3006</v>
      </c>
      <c r="B1014" s="64">
        <v>32879</v>
      </c>
      <c r="C1014" s="50" t="s">
        <v>243</v>
      </c>
      <c r="D1014" s="50" t="s">
        <v>3007</v>
      </c>
      <c r="E1014" s="80" t="s">
        <v>308</v>
      </c>
      <c r="F1014" s="50" t="s">
        <v>98</v>
      </c>
      <c r="G1014" s="50" t="s">
        <v>3008</v>
      </c>
      <c r="H1014" s="88">
        <v>11524.2</v>
      </c>
      <c r="I1014" s="88"/>
      <c r="J1014" s="89"/>
      <c r="K1014" s="89"/>
      <c r="L1014" s="89">
        <f t="shared" si="30"/>
        <v>11524.2</v>
      </c>
      <c r="M1014" s="87">
        <f t="shared" si="31"/>
        <v>11524.2</v>
      </c>
      <c r="N1014" s="89"/>
      <c r="O1014" s="89"/>
      <c r="P1014" s="48">
        <v>41176</v>
      </c>
      <c r="Q1014" s="68">
        <v>41357</v>
      </c>
      <c r="R1014" s="49">
        <v>11860</v>
      </c>
    </row>
    <row r="1015" spans="1:18" s="1" customFormat="1" ht="51" x14ac:dyDescent="0.2">
      <c r="A1015" s="45" t="s">
        <v>3009</v>
      </c>
      <c r="B1015" s="64">
        <v>33040</v>
      </c>
      <c r="C1015" s="50" t="s">
        <v>390</v>
      </c>
      <c r="D1015" s="50" t="s">
        <v>3010</v>
      </c>
      <c r="E1015" s="80" t="s">
        <v>308</v>
      </c>
      <c r="F1015" s="50" t="s">
        <v>98</v>
      </c>
      <c r="G1015" s="50" t="s">
        <v>3011</v>
      </c>
      <c r="H1015" s="88">
        <v>7360</v>
      </c>
      <c r="I1015" s="88"/>
      <c r="J1015" s="89"/>
      <c r="K1015" s="89"/>
      <c r="L1015" s="89">
        <f t="shared" si="30"/>
        <v>7360</v>
      </c>
      <c r="M1015" s="87">
        <f t="shared" si="31"/>
        <v>7360</v>
      </c>
      <c r="N1015" s="89"/>
      <c r="O1015" s="89"/>
      <c r="P1015" s="48">
        <v>41176</v>
      </c>
      <c r="Q1015" s="68">
        <v>41357</v>
      </c>
      <c r="R1015" s="49">
        <v>11853</v>
      </c>
    </row>
    <row r="1016" spans="1:18" s="1" customFormat="1" ht="25.5" x14ac:dyDescent="0.2">
      <c r="A1016" s="45" t="s">
        <v>3012</v>
      </c>
      <c r="B1016" s="64">
        <v>32982</v>
      </c>
      <c r="C1016" s="50" t="s">
        <v>1991</v>
      </c>
      <c r="D1016" s="50" t="s">
        <v>3013</v>
      </c>
      <c r="E1016" s="80" t="s">
        <v>308</v>
      </c>
      <c r="F1016" s="50" t="s">
        <v>98</v>
      </c>
      <c r="G1016" s="50" t="s">
        <v>3014</v>
      </c>
      <c r="H1016" s="88">
        <v>8785</v>
      </c>
      <c r="I1016" s="88"/>
      <c r="J1016" s="89"/>
      <c r="K1016" s="89"/>
      <c r="L1016" s="89">
        <f t="shared" si="30"/>
        <v>8785</v>
      </c>
      <c r="M1016" s="87">
        <f t="shared" si="31"/>
        <v>8785</v>
      </c>
      <c r="N1016" s="89"/>
      <c r="O1016" s="89"/>
      <c r="P1016" s="48">
        <v>41180</v>
      </c>
      <c r="Q1016" s="68">
        <v>41361</v>
      </c>
      <c r="R1016" s="49">
        <v>11509</v>
      </c>
    </row>
    <row r="1017" spans="1:18" s="1" customFormat="1" ht="25.5" x14ac:dyDescent="0.2">
      <c r="A1017" s="45" t="s">
        <v>3015</v>
      </c>
      <c r="B1017" s="64">
        <v>32850</v>
      </c>
      <c r="C1017" s="50" t="s">
        <v>1991</v>
      </c>
      <c r="D1017" s="50" t="s">
        <v>3010</v>
      </c>
      <c r="E1017" s="80" t="s">
        <v>308</v>
      </c>
      <c r="F1017" s="50" t="s">
        <v>98</v>
      </c>
      <c r="G1017" s="50" t="s">
        <v>3016</v>
      </c>
      <c r="H1017" s="88">
        <v>7245</v>
      </c>
      <c r="I1017" s="88"/>
      <c r="J1017" s="89"/>
      <c r="K1017" s="89"/>
      <c r="L1017" s="89">
        <f t="shared" si="30"/>
        <v>7245</v>
      </c>
      <c r="M1017" s="87">
        <f t="shared" si="31"/>
        <v>7245</v>
      </c>
      <c r="N1017" s="89"/>
      <c r="O1017" s="89"/>
      <c r="P1017" s="48">
        <v>41180</v>
      </c>
      <c r="Q1017" s="68">
        <v>41361</v>
      </c>
      <c r="R1017" s="49">
        <v>11502</v>
      </c>
    </row>
    <row r="1018" spans="1:18" s="1" customFormat="1" ht="25.5" x14ac:dyDescent="0.2">
      <c r="A1018" s="45" t="s">
        <v>3017</v>
      </c>
      <c r="B1018" s="64">
        <v>32874</v>
      </c>
      <c r="C1018" s="50" t="s">
        <v>1991</v>
      </c>
      <c r="D1018" s="50" t="s">
        <v>3018</v>
      </c>
      <c r="E1018" s="80" t="s">
        <v>308</v>
      </c>
      <c r="F1018" s="50" t="s">
        <v>98</v>
      </c>
      <c r="G1018" s="50" t="s">
        <v>3019</v>
      </c>
      <c r="H1018" s="88">
        <v>11093</v>
      </c>
      <c r="I1018" s="88"/>
      <c r="J1018" s="89"/>
      <c r="K1018" s="89"/>
      <c r="L1018" s="89">
        <f t="shared" si="30"/>
        <v>11093</v>
      </c>
      <c r="M1018" s="87">
        <f t="shared" si="31"/>
        <v>11093</v>
      </c>
      <c r="N1018" s="89"/>
      <c r="O1018" s="89"/>
      <c r="P1018" s="48">
        <v>41192</v>
      </c>
      <c r="Q1018" s="68">
        <v>41455</v>
      </c>
      <c r="R1018" s="49">
        <v>11801</v>
      </c>
    </row>
    <row r="1019" spans="1:18" s="1" customFormat="1" ht="25.5" x14ac:dyDescent="0.2">
      <c r="A1019" s="45" t="s">
        <v>3020</v>
      </c>
      <c r="B1019" s="64">
        <v>33024</v>
      </c>
      <c r="C1019" s="50" t="s">
        <v>43</v>
      </c>
      <c r="D1019" s="50" t="s">
        <v>3021</v>
      </c>
      <c r="E1019" s="80" t="s">
        <v>308</v>
      </c>
      <c r="F1019" s="50" t="s">
        <v>98</v>
      </c>
      <c r="G1019" s="50" t="s">
        <v>3022</v>
      </c>
      <c r="H1019" s="88">
        <v>10926</v>
      </c>
      <c r="I1019" s="88"/>
      <c r="J1019" s="89"/>
      <c r="K1019" s="89"/>
      <c r="L1019" s="89">
        <f t="shared" si="30"/>
        <v>10926</v>
      </c>
      <c r="M1019" s="87">
        <f t="shared" si="31"/>
        <v>10926</v>
      </c>
      <c r="N1019" s="89"/>
      <c r="O1019" s="89"/>
      <c r="P1019" s="48">
        <v>41192</v>
      </c>
      <c r="Q1019" s="68">
        <v>42277</v>
      </c>
      <c r="R1019" s="49">
        <v>11803</v>
      </c>
    </row>
    <row r="1020" spans="1:18" s="1" customFormat="1" ht="38.25" x14ac:dyDescent="0.2">
      <c r="A1020" s="45" t="s">
        <v>3023</v>
      </c>
      <c r="B1020" s="64">
        <v>32904</v>
      </c>
      <c r="C1020" s="50" t="s">
        <v>43</v>
      </c>
      <c r="D1020" s="50" t="s">
        <v>3024</v>
      </c>
      <c r="E1020" s="80" t="s">
        <v>308</v>
      </c>
      <c r="F1020" s="50" t="s">
        <v>167</v>
      </c>
      <c r="G1020" s="50" t="s">
        <v>3025</v>
      </c>
      <c r="H1020" s="88">
        <v>16400</v>
      </c>
      <c r="I1020" s="88"/>
      <c r="J1020" s="89"/>
      <c r="K1020" s="89"/>
      <c r="L1020" s="89">
        <f t="shared" si="30"/>
        <v>16400</v>
      </c>
      <c r="M1020" s="87">
        <f t="shared" si="31"/>
        <v>16400</v>
      </c>
      <c r="N1020" s="89"/>
      <c r="O1020" s="89"/>
      <c r="P1020" s="48">
        <v>41183</v>
      </c>
      <c r="Q1020" s="68">
        <v>41516</v>
      </c>
      <c r="R1020" s="49">
        <v>11815</v>
      </c>
    </row>
    <row r="1021" spans="1:18" s="1" customFormat="1" ht="38.25" x14ac:dyDescent="0.2">
      <c r="A1021" s="45" t="s">
        <v>3026</v>
      </c>
      <c r="B1021" s="64">
        <v>32631</v>
      </c>
      <c r="C1021" s="50" t="s">
        <v>43</v>
      </c>
      <c r="D1021" s="50" t="s">
        <v>3027</v>
      </c>
      <c r="E1021" s="80" t="s">
        <v>308</v>
      </c>
      <c r="F1021" s="50" t="s">
        <v>22</v>
      </c>
      <c r="G1021" s="50" t="s">
        <v>3028</v>
      </c>
      <c r="H1021" s="88">
        <v>11455</v>
      </c>
      <c r="I1021" s="88"/>
      <c r="J1021" s="88">
        <f>SUM(J741:J1020)</f>
        <v>0</v>
      </c>
      <c r="K1021" s="88">
        <f>SUM(K741:K1020)</f>
        <v>0</v>
      </c>
      <c r="L1021" s="89">
        <f t="shared" si="30"/>
        <v>11455</v>
      </c>
      <c r="M1021" s="87">
        <f t="shared" si="31"/>
        <v>11455</v>
      </c>
      <c r="N1021" s="89"/>
      <c r="O1021" s="89"/>
      <c r="P1021" s="48">
        <v>41183</v>
      </c>
      <c r="Q1021" s="68">
        <v>41547</v>
      </c>
      <c r="R1021" s="49">
        <v>11373</v>
      </c>
    </row>
    <row r="1022" spans="1:18" s="1" customFormat="1" ht="51" x14ac:dyDescent="0.2">
      <c r="A1022" s="45" t="s">
        <v>3029</v>
      </c>
      <c r="B1022" s="64">
        <v>1482</v>
      </c>
      <c r="C1022" s="50" t="s">
        <v>43</v>
      </c>
      <c r="D1022" s="50" t="s">
        <v>3030</v>
      </c>
      <c r="E1022" s="80" t="s">
        <v>308</v>
      </c>
      <c r="F1022" s="50" t="s">
        <v>167</v>
      </c>
      <c r="G1022" s="50" t="s">
        <v>3031</v>
      </c>
      <c r="H1022" s="88">
        <v>15900</v>
      </c>
      <c r="I1022" s="88"/>
      <c r="J1022" s="89"/>
      <c r="K1022" s="89"/>
      <c r="L1022" s="89">
        <f t="shared" si="30"/>
        <v>15900</v>
      </c>
      <c r="M1022" s="87">
        <f t="shared" si="31"/>
        <v>15900</v>
      </c>
      <c r="N1022" s="89"/>
      <c r="O1022" s="89"/>
      <c r="P1022" s="48">
        <v>41183</v>
      </c>
      <c r="Q1022" s="68">
        <v>41365</v>
      </c>
      <c r="R1022" s="49">
        <v>11397</v>
      </c>
    </row>
    <row r="1023" spans="1:18" s="1" customFormat="1" ht="25.5" x14ac:dyDescent="0.2">
      <c r="A1023" s="45" t="s">
        <v>3032</v>
      </c>
      <c r="B1023" s="45">
        <v>33064</v>
      </c>
      <c r="C1023" s="50" t="s">
        <v>43</v>
      </c>
      <c r="D1023" s="50" t="s">
        <v>3033</v>
      </c>
      <c r="E1023" s="80" t="s">
        <v>308</v>
      </c>
      <c r="F1023" s="50" t="s">
        <v>87</v>
      </c>
      <c r="G1023" s="50" t="s">
        <v>3034</v>
      </c>
      <c r="H1023" s="88">
        <v>18880</v>
      </c>
      <c r="I1023" s="88"/>
      <c r="J1023" s="89"/>
      <c r="K1023" s="89"/>
      <c r="L1023" s="89">
        <f t="shared" si="30"/>
        <v>18880</v>
      </c>
      <c r="M1023" s="87">
        <f t="shared" si="31"/>
        <v>18880</v>
      </c>
      <c r="N1023" s="89"/>
      <c r="O1023" s="89"/>
      <c r="P1023" s="48">
        <v>41183</v>
      </c>
      <c r="Q1023" s="68">
        <v>41365</v>
      </c>
      <c r="R1023" s="49">
        <v>11369</v>
      </c>
    </row>
    <row r="1024" spans="1:18" s="1" customFormat="1" ht="25.5" x14ac:dyDescent="0.2">
      <c r="A1024" s="45" t="s">
        <v>3035</v>
      </c>
      <c r="B1024" s="45">
        <v>32933</v>
      </c>
      <c r="C1024" s="50" t="s">
        <v>43</v>
      </c>
      <c r="D1024" s="50" t="s">
        <v>3036</v>
      </c>
      <c r="E1024" s="80" t="s">
        <v>308</v>
      </c>
      <c r="F1024" s="50" t="s">
        <v>87</v>
      </c>
      <c r="G1024" s="50" t="s">
        <v>3037</v>
      </c>
      <c r="H1024" s="88">
        <v>17933.37</v>
      </c>
      <c r="I1024" s="88"/>
      <c r="J1024" s="89"/>
      <c r="K1024" s="89"/>
      <c r="L1024" s="89">
        <f t="shared" si="30"/>
        <v>17933.37</v>
      </c>
      <c r="M1024" s="87">
        <f t="shared" si="31"/>
        <v>17933.37</v>
      </c>
      <c r="N1024" s="89"/>
      <c r="O1024" s="89"/>
      <c r="P1024" s="48">
        <v>41183</v>
      </c>
      <c r="Q1024" s="68">
        <v>41365</v>
      </c>
      <c r="R1024" s="49">
        <v>11279</v>
      </c>
    </row>
    <row r="1025" spans="1:18" s="1" customFormat="1" ht="38.25" x14ac:dyDescent="0.2">
      <c r="A1025" s="45" t="s">
        <v>3038</v>
      </c>
      <c r="B1025" s="64">
        <v>32673</v>
      </c>
      <c r="C1025" s="50" t="s">
        <v>238</v>
      </c>
      <c r="D1025" s="50" t="s">
        <v>3039</v>
      </c>
      <c r="E1025" s="80" t="s">
        <v>308</v>
      </c>
      <c r="F1025" s="50" t="s">
        <v>22</v>
      </c>
      <c r="G1025" s="50" t="s">
        <v>3040</v>
      </c>
      <c r="H1025" s="88">
        <v>10720</v>
      </c>
      <c r="I1025" s="88"/>
      <c r="J1025" s="89"/>
      <c r="K1025" s="89"/>
      <c r="L1025" s="89">
        <f t="shared" si="30"/>
        <v>10720</v>
      </c>
      <c r="M1025" s="87">
        <f t="shared" si="31"/>
        <v>10720</v>
      </c>
      <c r="N1025" s="89"/>
      <c r="O1025" s="89"/>
      <c r="P1025" s="48">
        <v>41180</v>
      </c>
      <c r="Q1025" s="68">
        <v>41361</v>
      </c>
      <c r="R1025" s="49">
        <v>11345</v>
      </c>
    </row>
    <row r="1026" spans="1:18" s="1" customFormat="1" ht="38.25" x14ac:dyDescent="0.2">
      <c r="A1026" s="45" t="s">
        <v>3041</v>
      </c>
      <c r="B1026" s="64">
        <v>33069</v>
      </c>
      <c r="C1026" s="50" t="s">
        <v>238</v>
      </c>
      <c r="D1026" s="50" t="s">
        <v>3042</v>
      </c>
      <c r="E1026" s="80" t="s">
        <v>308</v>
      </c>
      <c r="F1026" s="50" t="s">
        <v>98</v>
      </c>
      <c r="G1026" s="50" t="s">
        <v>3043</v>
      </c>
      <c r="H1026" s="88">
        <v>3536</v>
      </c>
      <c r="I1026" s="88"/>
      <c r="J1026" s="89"/>
      <c r="K1026" s="89"/>
      <c r="L1026" s="89">
        <f t="shared" si="30"/>
        <v>3536</v>
      </c>
      <c r="M1026" s="87">
        <f t="shared" si="31"/>
        <v>3536</v>
      </c>
      <c r="N1026" s="89"/>
      <c r="O1026" s="89"/>
      <c r="P1026" s="48">
        <v>41180</v>
      </c>
      <c r="Q1026" s="68">
        <v>41361</v>
      </c>
      <c r="R1026" s="49">
        <v>11365</v>
      </c>
    </row>
    <row r="1027" spans="1:18" s="1" customFormat="1" ht="38.25" x14ac:dyDescent="0.2">
      <c r="A1027" s="45" t="s">
        <v>3044</v>
      </c>
      <c r="B1027" s="64">
        <v>32650</v>
      </c>
      <c r="C1027" s="50" t="s">
        <v>238</v>
      </c>
      <c r="D1027" s="50" t="s">
        <v>3045</v>
      </c>
      <c r="E1027" s="80" t="s">
        <v>308</v>
      </c>
      <c r="F1027" s="50" t="s">
        <v>98</v>
      </c>
      <c r="G1027" s="50" t="s">
        <v>3046</v>
      </c>
      <c r="H1027" s="88">
        <v>10270</v>
      </c>
      <c r="I1027" s="88"/>
      <c r="J1027" s="89"/>
      <c r="K1027" s="89"/>
      <c r="L1027" s="89">
        <f t="shared" si="30"/>
        <v>10270</v>
      </c>
      <c r="M1027" s="87">
        <f t="shared" si="31"/>
        <v>10270</v>
      </c>
      <c r="N1027" s="89"/>
      <c r="O1027" s="89"/>
      <c r="P1027" s="48">
        <v>41192</v>
      </c>
      <c r="Q1027" s="68">
        <v>41374</v>
      </c>
      <c r="R1027" s="49">
        <v>11944</v>
      </c>
    </row>
    <row r="1028" spans="1:18" s="1" customFormat="1" ht="38.25" x14ac:dyDescent="0.2">
      <c r="A1028" s="45" t="s">
        <v>3047</v>
      </c>
      <c r="B1028" s="64">
        <v>32694</v>
      </c>
      <c r="C1028" s="50" t="s">
        <v>238</v>
      </c>
      <c r="D1028" s="50" t="s">
        <v>3048</v>
      </c>
      <c r="E1028" s="80" t="s">
        <v>308</v>
      </c>
      <c r="F1028" s="50" t="s">
        <v>71</v>
      </c>
      <c r="G1028" s="50" t="s">
        <v>3049</v>
      </c>
      <c r="H1028" s="88">
        <v>16490</v>
      </c>
      <c r="I1028" s="88"/>
      <c r="J1028" s="89"/>
      <c r="K1028" s="89"/>
      <c r="L1028" s="89">
        <f t="shared" si="30"/>
        <v>16490</v>
      </c>
      <c r="M1028" s="87">
        <f t="shared" si="31"/>
        <v>16490</v>
      </c>
      <c r="N1028" s="89"/>
      <c r="O1028" s="89"/>
      <c r="P1028" s="48">
        <v>41180</v>
      </c>
      <c r="Q1028" s="68">
        <v>41361</v>
      </c>
      <c r="R1028" s="49">
        <v>11347</v>
      </c>
    </row>
    <row r="1029" spans="1:18" s="1" customFormat="1" ht="25.5" x14ac:dyDescent="0.2">
      <c r="A1029" s="45" t="s">
        <v>3050</v>
      </c>
      <c r="B1029" s="64">
        <v>32781</v>
      </c>
      <c r="C1029" s="50" t="s">
        <v>238</v>
      </c>
      <c r="D1029" s="50" t="s">
        <v>3051</v>
      </c>
      <c r="E1029" s="80" t="s">
        <v>308</v>
      </c>
      <c r="F1029" s="50" t="s">
        <v>98</v>
      </c>
      <c r="G1029" s="50" t="s">
        <v>3052</v>
      </c>
      <c r="H1029" s="88">
        <v>3464</v>
      </c>
      <c r="I1029" s="88"/>
      <c r="J1029" s="89"/>
      <c r="K1029" s="89"/>
      <c r="L1029" s="89">
        <f t="shared" si="30"/>
        <v>3464</v>
      </c>
      <c r="M1029" s="87">
        <f t="shared" si="31"/>
        <v>3464</v>
      </c>
      <c r="N1029" s="89"/>
      <c r="O1029" s="89"/>
      <c r="P1029" s="48">
        <v>41179</v>
      </c>
      <c r="Q1029" s="68">
        <v>41360</v>
      </c>
      <c r="R1029" s="49">
        <v>11350</v>
      </c>
    </row>
    <row r="1030" spans="1:18" s="1" customFormat="1" ht="25.5" x14ac:dyDescent="0.2">
      <c r="A1030" s="45" t="s">
        <v>3053</v>
      </c>
      <c r="B1030" s="64">
        <v>32617</v>
      </c>
      <c r="C1030" s="50" t="s">
        <v>35</v>
      </c>
      <c r="D1030" s="50" t="s">
        <v>3054</v>
      </c>
      <c r="E1030" s="80" t="s">
        <v>308</v>
      </c>
      <c r="F1030" s="50" t="s">
        <v>98</v>
      </c>
      <c r="G1030" s="50" t="s">
        <v>3055</v>
      </c>
      <c r="H1030" s="88">
        <v>11400</v>
      </c>
      <c r="I1030" s="88"/>
      <c r="J1030" s="89"/>
      <c r="K1030" s="89"/>
      <c r="L1030" s="89">
        <f t="shared" si="30"/>
        <v>11400</v>
      </c>
      <c r="M1030" s="87">
        <f t="shared" si="31"/>
        <v>11400</v>
      </c>
      <c r="N1030" s="89"/>
      <c r="O1030" s="89"/>
      <c r="P1030" s="48">
        <v>41179</v>
      </c>
      <c r="Q1030" s="68">
        <v>41544</v>
      </c>
      <c r="R1030" s="49">
        <v>11352</v>
      </c>
    </row>
    <row r="1031" spans="1:18" s="1" customFormat="1" ht="25.5" x14ac:dyDescent="0.2">
      <c r="A1031" s="45" t="s">
        <v>3056</v>
      </c>
      <c r="B1031" s="64">
        <v>32905</v>
      </c>
      <c r="C1031" s="50" t="s">
        <v>35</v>
      </c>
      <c r="D1031" s="50" t="s">
        <v>3057</v>
      </c>
      <c r="E1031" s="80" t="s">
        <v>308</v>
      </c>
      <c r="F1031" s="50" t="s">
        <v>98</v>
      </c>
      <c r="G1031" s="50" t="s">
        <v>3058</v>
      </c>
      <c r="H1031" s="88">
        <v>18856</v>
      </c>
      <c r="I1031" s="88"/>
      <c r="J1031" s="89"/>
      <c r="K1031" s="89"/>
      <c r="L1031" s="89">
        <f t="shared" ref="L1031:L1094" si="32">H1031+I1031+J1031+K1031</f>
        <v>18856</v>
      </c>
      <c r="M1031" s="87">
        <f t="shared" ref="M1031:M1094" si="33">SUM(L1031)</f>
        <v>18856</v>
      </c>
      <c r="N1031" s="89"/>
      <c r="O1031" s="89"/>
      <c r="P1031" s="48">
        <v>41183</v>
      </c>
      <c r="Q1031" s="68">
        <v>41365</v>
      </c>
      <c r="R1031" s="49">
        <v>11310</v>
      </c>
    </row>
    <row r="1032" spans="1:18" s="1" customFormat="1" ht="25.5" x14ac:dyDescent="0.2">
      <c r="A1032" s="45" t="s">
        <v>3059</v>
      </c>
      <c r="B1032" s="64">
        <v>32636</v>
      </c>
      <c r="C1032" s="50" t="s">
        <v>19</v>
      </c>
      <c r="D1032" s="50" t="s">
        <v>3060</v>
      </c>
      <c r="E1032" s="80" t="s">
        <v>308</v>
      </c>
      <c r="F1032" s="50" t="s">
        <v>98</v>
      </c>
      <c r="G1032" s="50" t="s">
        <v>3061</v>
      </c>
      <c r="H1032" s="88">
        <v>7642</v>
      </c>
      <c r="I1032" s="88"/>
      <c r="J1032" s="88"/>
      <c r="K1032" s="88"/>
      <c r="L1032" s="89">
        <f t="shared" si="32"/>
        <v>7642</v>
      </c>
      <c r="M1032" s="87">
        <f t="shared" si="33"/>
        <v>7642</v>
      </c>
      <c r="N1032" s="89"/>
      <c r="O1032" s="89"/>
      <c r="P1032" s="48">
        <v>41183</v>
      </c>
      <c r="Q1032" s="68">
        <v>41365</v>
      </c>
      <c r="R1032" s="49">
        <v>11359</v>
      </c>
    </row>
    <row r="1033" spans="1:18" s="1" customFormat="1" ht="38.25" x14ac:dyDescent="0.2">
      <c r="A1033" s="45" t="s">
        <v>3062</v>
      </c>
      <c r="B1033" s="64">
        <v>32657</v>
      </c>
      <c r="C1033" s="50" t="s">
        <v>19</v>
      </c>
      <c r="D1033" s="50" t="s">
        <v>1670</v>
      </c>
      <c r="E1033" s="80" t="s">
        <v>308</v>
      </c>
      <c r="F1033" s="50" t="s">
        <v>167</v>
      </c>
      <c r="G1033" s="50" t="s">
        <v>3063</v>
      </c>
      <c r="H1033" s="88">
        <v>14703</v>
      </c>
      <c r="I1033" s="88"/>
      <c r="J1033" s="89"/>
      <c r="K1033" s="89"/>
      <c r="L1033" s="89">
        <f t="shared" si="32"/>
        <v>14703</v>
      </c>
      <c r="M1033" s="87">
        <f t="shared" si="33"/>
        <v>14703</v>
      </c>
      <c r="N1033" s="89"/>
      <c r="O1033" s="89"/>
      <c r="P1033" s="48">
        <v>41177</v>
      </c>
      <c r="Q1033" s="68">
        <v>41358</v>
      </c>
      <c r="R1033" s="49">
        <v>11364</v>
      </c>
    </row>
    <row r="1034" spans="1:18" s="1" customFormat="1" ht="38.25" x14ac:dyDescent="0.2">
      <c r="A1034" s="45" t="s">
        <v>3064</v>
      </c>
      <c r="B1034" s="64">
        <v>32633</v>
      </c>
      <c r="C1034" s="50" t="s">
        <v>19</v>
      </c>
      <c r="D1034" s="50" t="s">
        <v>1687</v>
      </c>
      <c r="E1034" s="80" t="s">
        <v>308</v>
      </c>
      <c r="F1034" s="50" t="s">
        <v>63</v>
      </c>
      <c r="G1034" s="50" t="s">
        <v>3065</v>
      </c>
      <c r="H1034" s="88">
        <v>7750</v>
      </c>
      <c r="I1034" s="88"/>
      <c r="J1034" s="89"/>
      <c r="K1034" s="89"/>
      <c r="L1034" s="89">
        <f t="shared" si="32"/>
        <v>7750</v>
      </c>
      <c r="M1034" s="87">
        <f t="shared" si="33"/>
        <v>7750</v>
      </c>
      <c r="N1034" s="89"/>
      <c r="O1034" s="89"/>
      <c r="P1034" s="48">
        <v>41183</v>
      </c>
      <c r="Q1034" s="68">
        <v>41365</v>
      </c>
      <c r="R1034" s="49">
        <v>11346</v>
      </c>
    </row>
    <row r="1035" spans="1:18" s="1" customFormat="1" ht="38.25" x14ac:dyDescent="0.2">
      <c r="A1035" s="45" t="s">
        <v>3066</v>
      </c>
      <c r="B1035" s="45">
        <v>26157</v>
      </c>
      <c r="C1035" s="50" t="s">
        <v>574</v>
      </c>
      <c r="D1035" s="50" t="s">
        <v>3067</v>
      </c>
      <c r="E1035" s="80" t="s">
        <v>21</v>
      </c>
      <c r="F1035" s="50" t="s">
        <v>45</v>
      </c>
      <c r="G1035" s="50" t="s">
        <v>3068</v>
      </c>
      <c r="H1035" s="88">
        <v>5947</v>
      </c>
      <c r="I1035" s="88"/>
      <c r="J1035" s="89"/>
      <c r="K1035" s="89"/>
      <c r="L1035" s="89">
        <f t="shared" si="32"/>
        <v>5947</v>
      </c>
      <c r="M1035" s="87">
        <f t="shared" si="33"/>
        <v>5947</v>
      </c>
      <c r="N1035" s="89"/>
      <c r="O1035" s="89"/>
      <c r="P1035" s="48">
        <v>41183</v>
      </c>
      <c r="Q1035" s="48">
        <v>41306</v>
      </c>
      <c r="R1035" s="49">
        <v>11418</v>
      </c>
    </row>
    <row r="1036" spans="1:18" s="1" customFormat="1" ht="38.25" x14ac:dyDescent="0.2">
      <c r="A1036" s="45" t="s">
        <v>3069</v>
      </c>
      <c r="B1036" s="45">
        <v>26198</v>
      </c>
      <c r="C1036" s="50" t="s">
        <v>66</v>
      </c>
      <c r="D1036" s="50" t="s">
        <v>3070</v>
      </c>
      <c r="E1036" s="80" t="s">
        <v>21</v>
      </c>
      <c r="F1036" s="50" t="s">
        <v>26</v>
      </c>
      <c r="G1036" s="50" t="s">
        <v>3071</v>
      </c>
      <c r="H1036" s="88">
        <v>5800</v>
      </c>
      <c r="I1036" s="88"/>
      <c r="J1036" s="89"/>
      <c r="K1036" s="89"/>
      <c r="L1036" s="89">
        <f t="shared" si="32"/>
        <v>5800</v>
      </c>
      <c r="M1036" s="87">
        <f t="shared" si="33"/>
        <v>5800</v>
      </c>
      <c r="N1036" s="89"/>
      <c r="O1036" s="89"/>
      <c r="P1036" s="48">
        <v>41211</v>
      </c>
      <c r="Q1036" s="48">
        <v>41333</v>
      </c>
      <c r="R1036" s="49">
        <v>11960</v>
      </c>
    </row>
    <row r="1037" spans="1:18" s="1" customFormat="1" ht="38.25" x14ac:dyDescent="0.2">
      <c r="A1037" s="45" t="s">
        <v>3072</v>
      </c>
      <c r="B1037" s="45">
        <v>25960</v>
      </c>
      <c r="C1037" s="50" t="s">
        <v>53</v>
      </c>
      <c r="D1037" s="50" t="s">
        <v>3073</v>
      </c>
      <c r="E1037" s="80" t="s">
        <v>21</v>
      </c>
      <c r="F1037" s="50" t="s">
        <v>240</v>
      </c>
      <c r="G1037" s="50" t="s">
        <v>3074</v>
      </c>
      <c r="H1037" s="88">
        <v>2190</v>
      </c>
      <c r="I1037" s="88"/>
      <c r="J1037" s="89"/>
      <c r="K1037" s="89"/>
      <c r="L1037" s="89">
        <f t="shared" si="32"/>
        <v>2190</v>
      </c>
      <c r="M1037" s="87">
        <f t="shared" si="33"/>
        <v>2190</v>
      </c>
      <c r="N1037" s="89"/>
      <c r="O1037" s="89"/>
      <c r="P1037" s="48">
        <v>41183</v>
      </c>
      <c r="Q1037" s="48">
        <v>41306</v>
      </c>
      <c r="R1037" s="49">
        <v>11958</v>
      </c>
    </row>
    <row r="1038" spans="1:18" s="1" customFormat="1" ht="38.25" x14ac:dyDescent="0.2">
      <c r="A1038" s="45" t="s">
        <v>3075</v>
      </c>
      <c r="B1038" s="45">
        <v>26023</v>
      </c>
      <c r="C1038" s="50" t="s">
        <v>43</v>
      </c>
      <c r="D1038" s="50" t="s">
        <v>3076</v>
      </c>
      <c r="E1038" s="80" t="s">
        <v>21</v>
      </c>
      <c r="F1038" s="50" t="s">
        <v>71</v>
      </c>
      <c r="G1038" s="50" t="s">
        <v>3077</v>
      </c>
      <c r="H1038" s="88">
        <v>5983</v>
      </c>
      <c r="I1038" s="88"/>
      <c r="J1038" s="89"/>
      <c r="K1038" s="89"/>
      <c r="L1038" s="89">
        <f t="shared" si="32"/>
        <v>5983</v>
      </c>
      <c r="M1038" s="87">
        <f t="shared" si="33"/>
        <v>5983</v>
      </c>
      <c r="N1038" s="89"/>
      <c r="O1038" s="89"/>
      <c r="P1038" s="48">
        <v>41183</v>
      </c>
      <c r="Q1038" s="48">
        <v>41306</v>
      </c>
      <c r="R1038" s="49">
        <v>11384</v>
      </c>
    </row>
    <row r="1039" spans="1:18" s="1" customFormat="1" ht="38.25" x14ac:dyDescent="0.2">
      <c r="A1039" s="45" t="s">
        <v>3078</v>
      </c>
      <c r="B1039" s="45">
        <v>24827</v>
      </c>
      <c r="C1039" s="50" t="s">
        <v>457</v>
      </c>
      <c r="D1039" s="50" t="s">
        <v>3079</v>
      </c>
      <c r="E1039" s="80" t="s">
        <v>21</v>
      </c>
      <c r="F1039" s="50" t="s">
        <v>167</v>
      </c>
      <c r="G1039" s="50" t="s">
        <v>3080</v>
      </c>
      <c r="H1039" s="88">
        <v>5725.8</v>
      </c>
      <c r="I1039" s="88"/>
      <c r="J1039" s="89"/>
      <c r="K1039" s="89"/>
      <c r="L1039" s="89">
        <f t="shared" si="32"/>
        <v>5725.8</v>
      </c>
      <c r="M1039" s="87">
        <f t="shared" si="33"/>
        <v>5725.8</v>
      </c>
      <c r="N1039" s="89"/>
      <c r="O1039" s="89"/>
      <c r="P1039" s="48">
        <v>41183</v>
      </c>
      <c r="Q1039" s="48">
        <v>41306</v>
      </c>
      <c r="R1039" s="49">
        <v>11389</v>
      </c>
    </row>
    <row r="1040" spans="1:18" s="1" customFormat="1" ht="38.25" x14ac:dyDescent="0.2">
      <c r="A1040" s="45" t="s">
        <v>3081</v>
      </c>
      <c r="B1040" s="45">
        <v>26049</v>
      </c>
      <c r="C1040" s="50" t="s">
        <v>457</v>
      </c>
      <c r="D1040" s="50" t="s">
        <v>3082</v>
      </c>
      <c r="E1040" s="80" t="s">
        <v>21</v>
      </c>
      <c r="F1040" s="50" t="s">
        <v>167</v>
      </c>
      <c r="G1040" s="50" t="s">
        <v>3083</v>
      </c>
      <c r="H1040" s="88">
        <v>5725.8</v>
      </c>
      <c r="I1040" s="88"/>
      <c r="J1040" s="89"/>
      <c r="K1040" s="89"/>
      <c r="L1040" s="89">
        <f t="shared" si="32"/>
        <v>5725.8</v>
      </c>
      <c r="M1040" s="87">
        <f t="shared" si="33"/>
        <v>5725.8</v>
      </c>
      <c r="N1040" s="89"/>
      <c r="O1040" s="89"/>
      <c r="P1040" s="48">
        <v>41183</v>
      </c>
      <c r="Q1040" s="48">
        <v>41306</v>
      </c>
      <c r="R1040" s="49">
        <v>11380</v>
      </c>
    </row>
    <row r="1041" spans="1:18" s="1" customFormat="1" ht="38.25" x14ac:dyDescent="0.2">
      <c r="A1041" s="45" t="s">
        <v>3084</v>
      </c>
      <c r="B1041" s="45">
        <v>26075</v>
      </c>
      <c r="C1041" s="50" t="s">
        <v>457</v>
      </c>
      <c r="D1041" s="50" t="s">
        <v>3085</v>
      </c>
      <c r="E1041" s="80" t="s">
        <v>21</v>
      </c>
      <c r="F1041" s="50" t="s">
        <v>167</v>
      </c>
      <c r="G1041" s="50" t="s">
        <v>3083</v>
      </c>
      <c r="H1041" s="88">
        <v>5725.8</v>
      </c>
      <c r="I1041" s="88"/>
      <c r="J1041" s="89"/>
      <c r="K1041" s="89"/>
      <c r="L1041" s="89">
        <f t="shared" si="32"/>
        <v>5725.8</v>
      </c>
      <c r="M1041" s="87">
        <f t="shared" si="33"/>
        <v>5725.8</v>
      </c>
      <c r="N1041" s="89"/>
      <c r="O1041" s="89"/>
      <c r="P1041" s="48">
        <v>41183</v>
      </c>
      <c r="Q1041" s="68">
        <v>41306</v>
      </c>
      <c r="R1041" s="49">
        <v>11294</v>
      </c>
    </row>
    <row r="1042" spans="1:18" s="1" customFormat="1" ht="38.25" x14ac:dyDescent="0.2">
      <c r="A1042" s="45" t="s">
        <v>3086</v>
      </c>
      <c r="B1042" s="45">
        <v>26175</v>
      </c>
      <c r="C1042" s="50" t="s">
        <v>457</v>
      </c>
      <c r="D1042" s="50" t="s">
        <v>3087</v>
      </c>
      <c r="E1042" s="80" t="s">
        <v>21</v>
      </c>
      <c r="F1042" s="50" t="s">
        <v>167</v>
      </c>
      <c r="G1042" s="50" t="s">
        <v>3083</v>
      </c>
      <c r="H1042" s="88">
        <v>5985.8</v>
      </c>
      <c r="I1042" s="88"/>
      <c r="J1042" s="89"/>
      <c r="K1042" s="89"/>
      <c r="L1042" s="89">
        <f t="shared" si="32"/>
        <v>5985.8</v>
      </c>
      <c r="M1042" s="87">
        <f t="shared" si="33"/>
        <v>5985.8</v>
      </c>
      <c r="N1042" s="89"/>
      <c r="O1042" s="89"/>
      <c r="P1042" s="48">
        <v>41183</v>
      </c>
      <c r="Q1042" s="68">
        <v>41306</v>
      </c>
      <c r="R1042" s="49">
        <v>11293</v>
      </c>
    </row>
    <row r="1043" spans="1:18" s="1" customFormat="1" ht="38.25" x14ac:dyDescent="0.2">
      <c r="A1043" s="45" t="s">
        <v>3088</v>
      </c>
      <c r="B1043" s="45">
        <v>26196</v>
      </c>
      <c r="C1043" s="50" t="s">
        <v>35</v>
      </c>
      <c r="D1043" s="50" t="s">
        <v>3089</v>
      </c>
      <c r="E1043" s="80" t="s">
        <v>21</v>
      </c>
      <c r="F1043" s="50" t="s">
        <v>87</v>
      </c>
      <c r="G1043" s="50" t="s">
        <v>3090</v>
      </c>
      <c r="H1043" s="88">
        <v>6000</v>
      </c>
      <c r="I1043" s="88"/>
      <c r="J1043" s="89"/>
      <c r="K1043" s="89"/>
      <c r="L1043" s="89">
        <f t="shared" si="32"/>
        <v>6000</v>
      </c>
      <c r="M1043" s="87">
        <f t="shared" si="33"/>
        <v>6000</v>
      </c>
      <c r="N1043" s="89"/>
      <c r="O1043" s="89"/>
      <c r="P1043" s="48">
        <v>41183</v>
      </c>
      <c r="Q1043" s="68">
        <v>41306</v>
      </c>
      <c r="R1043" s="49">
        <v>11377</v>
      </c>
    </row>
    <row r="1044" spans="1:18" s="1" customFormat="1" ht="38.25" x14ac:dyDescent="0.2">
      <c r="A1044" s="45" t="s">
        <v>3091</v>
      </c>
      <c r="B1044" s="45">
        <v>26216</v>
      </c>
      <c r="C1044" s="50" t="s">
        <v>369</v>
      </c>
      <c r="D1044" s="50" t="s">
        <v>3092</v>
      </c>
      <c r="E1044" s="80" t="s">
        <v>21</v>
      </c>
      <c r="F1044" s="50" t="s">
        <v>98</v>
      </c>
      <c r="G1044" s="50" t="s">
        <v>3093</v>
      </c>
      <c r="H1044" s="88">
        <v>2972.5</v>
      </c>
      <c r="I1044" s="88"/>
      <c r="J1044" s="89"/>
      <c r="K1044" s="89"/>
      <c r="L1044" s="89">
        <f t="shared" si="32"/>
        <v>2972.5</v>
      </c>
      <c r="M1044" s="87">
        <f t="shared" si="33"/>
        <v>2972.5</v>
      </c>
      <c r="N1044" s="89"/>
      <c r="O1044" s="89"/>
      <c r="P1044" s="48">
        <v>41183</v>
      </c>
      <c r="Q1044" s="68">
        <v>41306</v>
      </c>
      <c r="R1044" s="49">
        <v>11342</v>
      </c>
    </row>
    <row r="1045" spans="1:18" s="1" customFormat="1" ht="38.25" x14ac:dyDescent="0.2">
      <c r="A1045" s="45" t="s">
        <v>3094</v>
      </c>
      <c r="B1045" s="45">
        <v>25368</v>
      </c>
      <c r="C1045" s="50" t="s">
        <v>369</v>
      </c>
      <c r="D1045" s="50" t="s">
        <v>3095</v>
      </c>
      <c r="E1045" s="80" t="s">
        <v>21</v>
      </c>
      <c r="F1045" s="50" t="s">
        <v>98</v>
      </c>
      <c r="G1045" s="50" t="s">
        <v>3096</v>
      </c>
      <c r="H1045" s="88">
        <v>1300</v>
      </c>
      <c r="I1045" s="88"/>
      <c r="J1045" s="89"/>
      <c r="K1045" s="89"/>
      <c r="L1045" s="89">
        <f t="shared" si="32"/>
        <v>1300</v>
      </c>
      <c r="M1045" s="87">
        <f t="shared" si="33"/>
        <v>1300</v>
      </c>
      <c r="N1045" s="89"/>
      <c r="O1045" s="89"/>
      <c r="P1045" s="48">
        <v>41183</v>
      </c>
      <c r="Q1045" s="68">
        <v>41306</v>
      </c>
      <c r="R1045" s="49">
        <v>11348</v>
      </c>
    </row>
    <row r="1046" spans="1:18" s="1" customFormat="1" ht="38.25" x14ac:dyDescent="0.2">
      <c r="A1046" s="45" t="s">
        <v>3097</v>
      </c>
      <c r="B1046" s="45">
        <v>19324</v>
      </c>
      <c r="C1046" s="50" t="s">
        <v>107</v>
      </c>
      <c r="D1046" s="50" t="s">
        <v>3098</v>
      </c>
      <c r="E1046" s="80" t="s">
        <v>21</v>
      </c>
      <c r="F1046" s="50" t="s">
        <v>98</v>
      </c>
      <c r="G1046" s="50" t="s">
        <v>3099</v>
      </c>
      <c r="H1046" s="88">
        <v>6000</v>
      </c>
      <c r="I1046" s="88"/>
      <c r="J1046" s="89"/>
      <c r="K1046" s="89"/>
      <c r="L1046" s="89">
        <f t="shared" si="32"/>
        <v>6000</v>
      </c>
      <c r="M1046" s="87">
        <f t="shared" si="33"/>
        <v>6000</v>
      </c>
      <c r="N1046" s="89"/>
      <c r="O1046" s="89"/>
      <c r="P1046" s="48">
        <v>41183</v>
      </c>
      <c r="Q1046" s="68">
        <v>41306</v>
      </c>
      <c r="R1046" s="49">
        <v>11382</v>
      </c>
    </row>
    <row r="1047" spans="1:18" s="1" customFormat="1" ht="38.25" x14ac:dyDescent="0.2">
      <c r="A1047" s="45" t="s">
        <v>3100</v>
      </c>
      <c r="B1047" s="45">
        <v>21800</v>
      </c>
      <c r="C1047" s="50" t="s">
        <v>107</v>
      </c>
      <c r="D1047" s="50" t="s">
        <v>3101</v>
      </c>
      <c r="E1047" s="80" t="s">
        <v>21</v>
      </c>
      <c r="F1047" s="50" t="s">
        <v>98</v>
      </c>
      <c r="G1047" s="50" t="s">
        <v>3102</v>
      </c>
      <c r="H1047" s="88">
        <v>3072.5</v>
      </c>
      <c r="I1047" s="88"/>
      <c r="J1047" s="89"/>
      <c r="K1047" s="89"/>
      <c r="L1047" s="89">
        <f t="shared" si="32"/>
        <v>3072.5</v>
      </c>
      <c r="M1047" s="87">
        <f t="shared" si="33"/>
        <v>3072.5</v>
      </c>
      <c r="N1047" s="89"/>
      <c r="O1047" s="89"/>
      <c r="P1047" s="48">
        <v>41183</v>
      </c>
      <c r="Q1047" s="68">
        <v>41306</v>
      </c>
      <c r="R1047" s="49">
        <v>11375</v>
      </c>
    </row>
    <row r="1048" spans="1:18" s="1" customFormat="1" ht="38.25" x14ac:dyDescent="0.2">
      <c r="A1048" s="45" t="s">
        <v>3103</v>
      </c>
      <c r="B1048" s="45">
        <v>21100</v>
      </c>
      <c r="C1048" s="50" t="s">
        <v>107</v>
      </c>
      <c r="D1048" s="50" t="s">
        <v>3104</v>
      </c>
      <c r="E1048" s="80" t="s">
        <v>21</v>
      </c>
      <c r="F1048" s="50" t="s">
        <v>98</v>
      </c>
      <c r="G1048" s="50" t="s">
        <v>3102</v>
      </c>
      <c r="H1048" s="88">
        <v>3072.5</v>
      </c>
      <c r="I1048" s="88"/>
      <c r="J1048" s="89"/>
      <c r="K1048" s="89"/>
      <c r="L1048" s="89">
        <f t="shared" si="32"/>
        <v>3072.5</v>
      </c>
      <c r="M1048" s="87">
        <f t="shared" si="33"/>
        <v>3072.5</v>
      </c>
      <c r="N1048" s="89"/>
      <c r="O1048" s="89"/>
      <c r="P1048" s="48">
        <v>41183</v>
      </c>
      <c r="Q1048" s="68">
        <v>41306</v>
      </c>
      <c r="R1048" s="49">
        <v>11349</v>
      </c>
    </row>
    <row r="1049" spans="1:18" s="1" customFormat="1" ht="38.25" x14ac:dyDescent="0.2">
      <c r="A1049" s="45" t="s">
        <v>3105</v>
      </c>
      <c r="B1049" s="45">
        <v>20814</v>
      </c>
      <c r="C1049" s="50" t="s">
        <v>107</v>
      </c>
      <c r="D1049" s="50" t="s">
        <v>3106</v>
      </c>
      <c r="E1049" s="80" t="s">
        <v>21</v>
      </c>
      <c r="F1049" s="50" t="s">
        <v>98</v>
      </c>
      <c r="G1049" s="50" t="s">
        <v>3107</v>
      </c>
      <c r="H1049" s="88">
        <v>2080</v>
      </c>
      <c r="I1049" s="88"/>
      <c r="J1049" s="89"/>
      <c r="K1049" s="89"/>
      <c r="L1049" s="89">
        <f t="shared" si="32"/>
        <v>2080</v>
      </c>
      <c r="M1049" s="87">
        <f t="shared" si="33"/>
        <v>2080</v>
      </c>
      <c r="N1049" s="89"/>
      <c r="O1049" s="89"/>
      <c r="P1049" s="48">
        <v>41183</v>
      </c>
      <c r="Q1049" s="68">
        <v>41306</v>
      </c>
      <c r="R1049" s="49">
        <v>11392</v>
      </c>
    </row>
    <row r="1050" spans="1:18" s="1" customFormat="1" ht="38.25" x14ac:dyDescent="0.2">
      <c r="A1050" s="45" t="s">
        <v>3108</v>
      </c>
      <c r="B1050" s="45">
        <v>25442</v>
      </c>
      <c r="C1050" s="50" t="s">
        <v>48</v>
      </c>
      <c r="D1050" s="50" t="s">
        <v>744</v>
      </c>
      <c r="E1050" s="80" t="s">
        <v>21</v>
      </c>
      <c r="F1050" s="50" t="s">
        <v>87</v>
      </c>
      <c r="G1050" s="50" t="s">
        <v>3109</v>
      </c>
      <c r="H1050" s="88">
        <v>1420</v>
      </c>
      <c r="I1050" s="88"/>
      <c r="J1050" s="89"/>
      <c r="K1050" s="89"/>
      <c r="L1050" s="89">
        <f t="shared" si="32"/>
        <v>1420</v>
      </c>
      <c r="M1050" s="87">
        <f t="shared" si="33"/>
        <v>1420</v>
      </c>
      <c r="N1050" s="89"/>
      <c r="O1050" s="89"/>
      <c r="P1050" s="48">
        <v>41197</v>
      </c>
      <c r="Q1050" s="68">
        <v>41320</v>
      </c>
      <c r="R1050" s="49">
        <v>11833</v>
      </c>
    </row>
    <row r="1051" spans="1:18" s="1" customFormat="1" ht="38.25" x14ac:dyDescent="0.2">
      <c r="A1051" s="45" t="s">
        <v>3110</v>
      </c>
      <c r="B1051" s="45">
        <v>26238</v>
      </c>
      <c r="C1051" s="50" t="s">
        <v>48</v>
      </c>
      <c r="D1051" s="50" t="s">
        <v>3111</v>
      </c>
      <c r="E1051" s="80" t="s">
        <v>21</v>
      </c>
      <c r="F1051" s="50" t="s">
        <v>26</v>
      </c>
      <c r="G1051" s="50" t="s">
        <v>3071</v>
      </c>
      <c r="H1051" s="88">
        <v>5817.6</v>
      </c>
      <c r="I1051" s="88"/>
      <c r="J1051" s="89"/>
      <c r="K1051" s="89"/>
      <c r="L1051" s="89">
        <f t="shared" si="32"/>
        <v>5817.6</v>
      </c>
      <c r="M1051" s="87">
        <f t="shared" si="33"/>
        <v>5817.6</v>
      </c>
      <c r="N1051" s="89"/>
      <c r="O1051" s="89"/>
      <c r="P1051" s="48">
        <v>41197</v>
      </c>
      <c r="Q1051" s="68">
        <v>41320</v>
      </c>
      <c r="R1051" s="49">
        <v>11687</v>
      </c>
    </row>
    <row r="1052" spans="1:18" s="1" customFormat="1" ht="38.25" x14ac:dyDescent="0.2">
      <c r="A1052" s="45" t="s">
        <v>3112</v>
      </c>
      <c r="B1052" s="45">
        <v>22352</v>
      </c>
      <c r="C1052" s="50" t="s">
        <v>507</v>
      </c>
      <c r="D1052" s="50" t="s">
        <v>508</v>
      </c>
      <c r="E1052" s="80" t="s">
        <v>21</v>
      </c>
      <c r="F1052" s="50" t="s">
        <v>45</v>
      </c>
      <c r="G1052" s="50" t="s">
        <v>3113</v>
      </c>
      <c r="H1052" s="88">
        <v>5947</v>
      </c>
      <c r="I1052" s="88"/>
      <c r="J1052" s="89"/>
      <c r="K1052" s="89"/>
      <c r="L1052" s="89">
        <f t="shared" si="32"/>
        <v>5947</v>
      </c>
      <c r="M1052" s="87">
        <f t="shared" si="33"/>
        <v>5947</v>
      </c>
      <c r="N1052" s="89"/>
      <c r="O1052" s="89"/>
      <c r="P1052" s="48">
        <v>41183</v>
      </c>
      <c r="Q1052" s="68">
        <v>41306</v>
      </c>
      <c r="R1052" s="49">
        <v>11280</v>
      </c>
    </row>
    <row r="1053" spans="1:18" s="1" customFormat="1" ht="38.25" x14ac:dyDescent="0.2">
      <c r="A1053" s="45" t="s">
        <v>3114</v>
      </c>
      <c r="B1053" s="45">
        <v>26276</v>
      </c>
      <c r="C1053" s="50" t="s">
        <v>507</v>
      </c>
      <c r="D1053" s="50" t="s">
        <v>3115</v>
      </c>
      <c r="E1053" s="80" t="s">
        <v>21</v>
      </c>
      <c r="F1053" s="50" t="s">
        <v>45</v>
      </c>
      <c r="G1053" s="50" t="s">
        <v>3113</v>
      </c>
      <c r="H1053" s="88">
        <v>5947</v>
      </c>
      <c r="I1053" s="88"/>
      <c r="J1053" s="89"/>
      <c r="K1053" s="89"/>
      <c r="L1053" s="89">
        <f t="shared" si="32"/>
        <v>5947</v>
      </c>
      <c r="M1053" s="87">
        <f t="shared" si="33"/>
        <v>5947</v>
      </c>
      <c r="N1053" s="89"/>
      <c r="O1053" s="89"/>
      <c r="P1053" s="48">
        <v>41183</v>
      </c>
      <c r="Q1053" s="68">
        <v>41306</v>
      </c>
      <c r="R1053" s="49">
        <v>11395</v>
      </c>
    </row>
    <row r="1054" spans="1:18" s="1" customFormat="1" ht="38.25" x14ac:dyDescent="0.2">
      <c r="A1054" s="45" t="s">
        <v>3116</v>
      </c>
      <c r="B1054" s="64">
        <v>33736</v>
      </c>
      <c r="C1054" s="50" t="s">
        <v>35</v>
      </c>
      <c r="D1054" s="50" t="s">
        <v>3117</v>
      </c>
      <c r="E1054" s="80" t="s">
        <v>2331</v>
      </c>
      <c r="F1054" s="81" t="s">
        <v>22</v>
      </c>
      <c r="G1054" s="50" t="s">
        <v>3118</v>
      </c>
      <c r="H1054" s="88">
        <v>3930</v>
      </c>
      <c r="I1054" s="88"/>
      <c r="J1054" s="89"/>
      <c r="K1054" s="89"/>
      <c r="L1054" s="89">
        <f t="shared" si="32"/>
        <v>3930</v>
      </c>
      <c r="M1054" s="87">
        <f t="shared" si="33"/>
        <v>3930</v>
      </c>
      <c r="N1054" s="89">
        <v>3930</v>
      </c>
      <c r="O1054" s="89"/>
      <c r="P1054" s="48">
        <v>41176</v>
      </c>
      <c r="Q1054" s="68">
        <v>41298</v>
      </c>
      <c r="R1054" s="49">
        <v>11404</v>
      </c>
    </row>
    <row r="1055" spans="1:18" s="1" customFormat="1" ht="38.25" x14ac:dyDescent="0.2">
      <c r="A1055" s="45" t="s">
        <v>3119</v>
      </c>
      <c r="B1055" s="45">
        <v>10524</v>
      </c>
      <c r="C1055" s="50" t="s">
        <v>53</v>
      </c>
      <c r="D1055" s="50" t="s">
        <v>3120</v>
      </c>
      <c r="E1055" s="80" t="s">
        <v>21</v>
      </c>
      <c r="F1055" s="50" t="s">
        <v>87</v>
      </c>
      <c r="G1055" s="50" t="s">
        <v>3121</v>
      </c>
      <c r="H1055" s="88">
        <v>5736.4</v>
      </c>
      <c r="I1055" s="88"/>
      <c r="J1055" s="89"/>
      <c r="K1055" s="89"/>
      <c r="L1055" s="89">
        <f t="shared" si="32"/>
        <v>5736.4</v>
      </c>
      <c r="M1055" s="87">
        <f t="shared" si="33"/>
        <v>5736.4</v>
      </c>
      <c r="N1055" s="89"/>
      <c r="O1055" s="89"/>
      <c r="P1055" s="48">
        <v>41186</v>
      </c>
      <c r="Q1055" s="68">
        <v>41309</v>
      </c>
      <c r="R1055" s="49">
        <v>11920</v>
      </c>
    </row>
    <row r="1056" spans="1:18" s="1" customFormat="1" ht="25.5" x14ac:dyDescent="0.2">
      <c r="A1056" s="45" t="s">
        <v>3122</v>
      </c>
      <c r="B1056" s="64">
        <v>32706</v>
      </c>
      <c r="C1056" s="50" t="s">
        <v>263</v>
      </c>
      <c r="D1056" s="50" t="s">
        <v>2319</v>
      </c>
      <c r="E1056" s="50" t="s">
        <v>308</v>
      </c>
      <c r="F1056" s="50" t="s">
        <v>45</v>
      </c>
      <c r="G1056" s="50" t="s">
        <v>3123</v>
      </c>
      <c r="H1056" s="88">
        <v>13930</v>
      </c>
      <c r="I1056" s="88"/>
      <c r="J1056" s="89"/>
      <c r="K1056" s="89"/>
      <c r="L1056" s="89">
        <f t="shared" si="32"/>
        <v>13930</v>
      </c>
      <c r="M1056" s="87">
        <f t="shared" si="33"/>
        <v>13930</v>
      </c>
      <c r="N1056" s="89"/>
      <c r="O1056" s="89"/>
      <c r="P1056" s="48">
        <v>41183</v>
      </c>
      <c r="Q1056" s="68">
        <v>41365</v>
      </c>
      <c r="R1056" s="49">
        <v>11368</v>
      </c>
    </row>
    <row r="1057" spans="1:18" s="1" customFormat="1" ht="25.5" x14ac:dyDescent="0.2">
      <c r="A1057" s="45" t="s">
        <v>3124</v>
      </c>
      <c r="B1057" s="64">
        <v>33001</v>
      </c>
      <c r="C1057" s="50" t="s">
        <v>43</v>
      </c>
      <c r="D1057" s="50" t="s">
        <v>2269</v>
      </c>
      <c r="E1057" s="50" t="s">
        <v>308</v>
      </c>
      <c r="F1057" s="50" t="s">
        <v>94</v>
      </c>
      <c r="G1057" s="50" t="s">
        <v>3125</v>
      </c>
      <c r="H1057" s="88">
        <v>5120</v>
      </c>
      <c r="I1057" s="88"/>
      <c r="J1057" s="89"/>
      <c r="K1057" s="89"/>
      <c r="L1057" s="89">
        <f t="shared" si="32"/>
        <v>5120</v>
      </c>
      <c r="M1057" s="87">
        <f t="shared" si="33"/>
        <v>5120</v>
      </c>
      <c r="N1057" s="89"/>
      <c r="O1057" s="89"/>
      <c r="P1057" s="48">
        <v>41176</v>
      </c>
      <c r="Q1057" s="68">
        <v>41357</v>
      </c>
      <c r="R1057" s="49">
        <v>11336</v>
      </c>
    </row>
    <row r="1058" spans="1:18" s="1" customFormat="1" ht="25.5" x14ac:dyDescent="0.2">
      <c r="A1058" s="45" t="s">
        <v>3126</v>
      </c>
      <c r="B1058" s="64">
        <v>1530</v>
      </c>
      <c r="C1058" s="50" t="s">
        <v>3127</v>
      </c>
      <c r="D1058" s="50" t="s">
        <v>3128</v>
      </c>
      <c r="E1058" s="50" t="s">
        <v>308</v>
      </c>
      <c r="F1058" s="50" t="s">
        <v>87</v>
      </c>
      <c r="G1058" s="50" t="s">
        <v>3129</v>
      </c>
      <c r="H1058" s="88">
        <v>4390</v>
      </c>
      <c r="I1058" s="88"/>
      <c r="J1058" s="89"/>
      <c r="K1058" s="89"/>
      <c r="L1058" s="89">
        <f t="shared" si="32"/>
        <v>4390</v>
      </c>
      <c r="M1058" s="87">
        <f t="shared" si="33"/>
        <v>4390</v>
      </c>
      <c r="N1058" s="89"/>
      <c r="O1058" s="89"/>
      <c r="P1058" s="48">
        <v>41193</v>
      </c>
      <c r="Q1058" s="68">
        <v>41375</v>
      </c>
      <c r="R1058" s="49">
        <v>11921</v>
      </c>
    </row>
    <row r="1059" spans="1:18" s="1" customFormat="1" ht="38.25" x14ac:dyDescent="0.2">
      <c r="A1059" s="47" t="s">
        <v>3130</v>
      </c>
      <c r="B1059" s="45">
        <v>34326</v>
      </c>
      <c r="C1059" s="50" t="s">
        <v>35</v>
      </c>
      <c r="D1059" s="50" t="s">
        <v>3131</v>
      </c>
      <c r="E1059" s="80" t="s">
        <v>2639</v>
      </c>
      <c r="F1059" s="50" t="s">
        <v>94</v>
      </c>
      <c r="G1059" s="50" t="s">
        <v>3132</v>
      </c>
      <c r="H1059" s="88">
        <v>3994.5</v>
      </c>
      <c r="I1059" s="88"/>
      <c r="J1059" s="89"/>
      <c r="K1059" s="89"/>
      <c r="L1059" s="89">
        <f t="shared" si="32"/>
        <v>3994.5</v>
      </c>
      <c r="M1059" s="87">
        <f t="shared" si="33"/>
        <v>3994.5</v>
      </c>
      <c r="N1059" s="89"/>
      <c r="O1059" s="89"/>
      <c r="P1059" s="48">
        <v>41192</v>
      </c>
      <c r="Q1059" s="68">
        <v>41374</v>
      </c>
      <c r="R1059" s="49">
        <v>11924</v>
      </c>
    </row>
    <row r="1060" spans="1:18" s="1" customFormat="1" ht="25.5" x14ac:dyDescent="0.2">
      <c r="A1060" s="45" t="s">
        <v>3133</v>
      </c>
      <c r="B1060" s="45">
        <v>33544</v>
      </c>
      <c r="C1060" s="50" t="s">
        <v>1129</v>
      </c>
      <c r="D1060" s="50" t="s">
        <v>3134</v>
      </c>
      <c r="E1060" s="80" t="s">
        <v>2639</v>
      </c>
      <c r="F1060" s="50" t="s">
        <v>98</v>
      </c>
      <c r="G1060" s="50" t="s">
        <v>3135</v>
      </c>
      <c r="H1060" s="88">
        <v>4726</v>
      </c>
      <c r="I1060" s="88"/>
      <c r="J1060" s="89"/>
      <c r="K1060" s="89"/>
      <c r="L1060" s="89">
        <f t="shared" si="32"/>
        <v>4726</v>
      </c>
      <c r="M1060" s="87">
        <f t="shared" si="33"/>
        <v>4726</v>
      </c>
      <c r="N1060" s="89"/>
      <c r="O1060" s="89"/>
      <c r="P1060" s="48">
        <v>41187</v>
      </c>
      <c r="Q1060" s="68">
        <v>41485</v>
      </c>
      <c r="R1060" s="49">
        <v>11508</v>
      </c>
    </row>
    <row r="1061" spans="1:18" s="1" customFormat="1" ht="38.25" x14ac:dyDescent="0.2">
      <c r="A1061" s="45" t="s">
        <v>3136</v>
      </c>
      <c r="B1061" s="45">
        <v>33811</v>
      </c>
      <c r="C1061" s="50" t="s">
        <v>66</v>
      </c>
      <c r="D1061" s="50" t="s">
        <v>3137</v>
      </c>
      <c r="E1061" s="80" t="s">
        <v>2639</v>
      </c>
      <c r="F1061" s="50" t="s">
        <v>98</v>
      </c>
      <c r="G1061" s="50" t="s">
        <v>3138</v>
      </c>
      <c r="H1061" s="88">
        <v>4390</v>
      </c>
      <c r="I1061" s="88"/>
      <c r="J1061" s="89"/>
      <c r="K1061" s="89"/>
      <c r="L1061" s="89">
        <f t="shared" si="32"/>
        <v>4390</v>
      </c>
      <c r="M1061" s="87">
        <f t="shared" si="33"/>
        <v>4390</v>
      </c>
      <c r="N1061" s="89"/>
      <c r="O1061" s="89"/>
      <c r="P1061" s="48">
        <v>41206</v>
      </c>
      <c r="Q1061" s="68">
        <v>41490</v>
      </c>
      <c r="R1061" s="49">
        <v>11987</v>
      </c>
    </row>
    <row r="1062" spans="1:18" s="1" customFormat="1" ht="25.5" x14ac:dyDescent="0.2">
      <c r="A1062" s="45" t="s">
        <v>3139</v>
      </c>
      <c r="B1062" s="45">
        <v>34199</v>
      </c>
      <c r="C1062" s="50" t="s">
        <v>66</v>
      </c>
      <c r="D1062" s="50" t="s">
        <v>3140</v>
      </c>
      <c r="E1062" s="80" t="s">
        <v>2639</v>
      </c>
      <c r="F1062" s="50" t="s">
        <v>94</v>
      </c>
      <c r="G1062" s="50" t="s">
        <v>3141</v>
      </c>
      <c r="H1062" s="88">
        <v>5000</v>
      </c>
      <c r="I1062" s="88"/>
      <c r="J1062" s="89"/>
      <c r="K1062" s="89"/>
      <c r="L1062" s="89">
        <f t="shared" si="32"/>
        <v>5000</v>
      </c>
      <c r="M1062" s="87">
        <f t="shared" si="33"/>
        <v>5000</v>
      </c>
      <c r="N1062" s="89"/>
      <c r="O1062" s="89"/>
      <c r="P1062" s="48">
        <v>41206</v>
      </c>
      <c r="Q1062" s="68">
        <v>41388</v>
      </c>
      <c r="R1062" s="49">
        <v>11963</v>
      </c>
    </row>
    <row r="1063" spans="1:18" s="1" customFormat="1" ht="51" x14ac:dyDescent="0.2">
      <c r="A1063" s="45" t="s">
        <v>3142</v>
      </c>
      <c r="B1063" s="45">
        <v>33770</v>
      </c>
      <c r="C1063" s="50" t="s">
        <v>66</v>
      </c>
      <c r="D1063" s="50" t="s">
        <v>3143</v>
      </c>
      <c r="E1063" s="80" t="s">
        <v>2639</v>
      </c>
      <c r="F1063" s="50" t="s">
        <v>87</v>
      </c>
      <c r="G1063" s="50" t="s">
        <v>3144</v>
      </c>
      <c r="H1063" s="88">
        <v>2131.87</v>
      </c>
      <c r="I1063" s="88"/>
      <c r="J1063" s="89"/>
      <c r="K1063" s="89"/>
      <c r="L1063" s="89">
        <f t="shared" si="32"/>
        <v>2131.87</v>
      </c>
      <c r="M1063" s="87">
        <f t="shared" si="33"/>
        <v>2131.87</v>
      </c>
      <c r="N1063" s="89"/>
      <c r="O1063" s="89"/>
      <c r="P1063" s="48">
        <v>41206</v>
      </c>
      <c r="Q1063" s="68">
        <v>41388</v>
      </c>
      <c r="R1063" s="49">
        <v>11929</v>
      </c>
    </row>
    <row r="1064" spans="1:18" s="1" customFormat="1" ht="38.25" x14ac:dyDescent="0.2">
      <c r="A1064" s="45" t="s">
        <v>3145</v>
      </c>
      <c r="B1064" s="45">
        <v>34019</v>
      </c>
      <c r="C1064" s="50" t="s">
        <v>66</v>
      </c>
      <c r="D1064" s="50" t="s">
        <v>3146</v>
      </c>
      <c r="E1064" s="80" t="s">
        <v>2639</v>
      </c>
      <c r="F1064" s="50" t="s">
        <v>98</v>
      </c>
      <c r="G1064" s="50" t="s">
        <v>3147</v>
      </c>
      <c r="H1064" s="88">
        <v>5000</v>
      </c>
      <c r="I1064" s="88"/>
      <c r="J1064" s="89"/>
      <c r="K1064" s="89"/>
      <c r="L1064" s="89">
        <f t="shared" si="32"/>
        <v>5000</v>
      </c>
      <c r="M1064" s="87">
        <f t="shared" si="33"/>
        <v>5000</v>
      </c>
      <c r="N1064" s="89"/>
      <c r="O1064" s="89"/>
      <c r="P1064" s="48">
        <v>41211</v>
      </c>
      <c r="Q1064" s="68">
        <v>41393</v>
      </c>
      <c r="R1064" s="49">
        <v>11980</v>
      </c>
    </row>
    <row r="1065" spans="1:18" s="1" customFormat="1" ht="38.25" x14ac:dyDescent="0.2">
      <c r="A1065" s="45" t="s">
        <v>3148</v>
      </c>
      <c r="B1065" s="45">
        <v>34371</v>
      </c>
      <c r="C1065" s="50" t="s">
        <v>369</v>
      </c>
      <c r="D1065" s="50" t="s">
        <v>3149</v>
      </c>
      <c r="E1065" s="80" t="s">
        <v>2639</v>
      </c>
      <c r="F1065" s="50" t="s">
        <v>109</v>
      </c>
      <c r="G1065" s="50" t="s">
        <v>3150</v>
      </c>
      <c r="H1065" s="88">
        <v>3524</v>
      </c>
      <c r="I1065" s="88"/>
      <c r="J1065" s="89"/>
      <c r="K1065" s="89"/>
      <c r="L1065" s="89">
        <f t="shared" si="32"/>
        <v>3524</v>
      </c>
      <c r="M1065" s="87">
        <f t="shared" si="33"/>
        <v>3524</v>
      </c>
      <c r="N1065" s="89"/>
      <c r="O1065" s="89"/>
      <c r="P1065" s="48">
        <v>41186</v>
      </c>
      <c r="Q1065" s="68">
        <v>41368</v>
      </c>
      <c r="R1065" s="49">
        <v>11300</v>
      </c>
    </row>
    <row r="1066" spans="1:18" s="1" customFormat="1" ht="25.5" x14ac:dyDescent="0.2">
      <c r="A1066" s="45" t="s">
        <v>3151</v>
      </c>
      <c r="B1066" s="45">
        <v>33678</v>
      </c>
      <c r="C1066" s="50" t="s">
        <v>19</v>
      </c>
      <c r="D1066" s="50" t="s">
        <v>1481</v>
      </c>
      <c r="E1066" s="80" t="s">
        <v>2639</v>
      </c>
      <c r="F1066" s="50" t="s">
        <v>94</v>
      </c>
      <c r="G1066" s="50" t="s">
        <v>3152</v>
      </c>
      <c r="H1066" s="88">
        <v>5000</v>
      </c>
      <c r="I1066" s="88"/>
      <c r="J1066" s="89"/>
      <c r="K1066" s="89"/>
      <c r="L1066" s="89">
        <f t="shared" si="32"/>
        <v>5000</v>
      </c>
      <c r="M1066" s="87">
        <f t="shared" si="33"/>
        <v>5000</v>
      </c>
      <c r="N1066" s="89"/>
      <c r="O1066" s="89"/>
      <c r="P1066" s="48">
        <v>41198</v>
      </c>
      <c r="Q1066" s="68">
        <v>41380</v>
      </c>
      <c r="R1066" s="49">
        <v>11965</v>
      </c>
    </row>
    <row r="1067" spans="1:18" s="1" customFormat="1" ht="25.5" x14ac:dyDescent="0.2">
      <c r="A1067" s="45" t="s">
        <v>3153</v>
      </c>
      <c r="B1067" s="45">
        <v>33878</v>
      </c>
      <c r="C1067" s="50" t="s">
        <v>19</v>
      </c>
      <c r="D1067" s="50" t="s">
        <v>3154</v>
      </c>
      <c r="E1067" s="80" t="s">
        <v>2639</v>
      </c>
      <c r="F1067" s="50" t="s">
        <v>98</v>
      </c>
      <c r="G1067" s="50" t="s">
        <v>3155</v>
      </c>
      <c r="H1067" s="88">
        <v>4230</v>
      </c>
      <c r="I1067" s="88"/>
      <c r="J1067" s="89"/>
      <c r="K1067" s="89"/>
      <c r="L1067" s="89">
        <f t="shared" si="32"/>
        <v>4230</v>
      </c>
      <c r="M1067" s="87">
        <f t="shared" si="33"/>
        <v>4230</v>
      </c>
      <c r="N1067" s="89"/>
      <c r="O1067" s="89"/>
      <c r="P1067" s="48">
        <v>41198</v>
      </c>
      <c r="Q1067" s="68">
        <v>41380</v>
      </c>
      <c r="R1067" s="49">
        <v>11961</v>
      </c>
    </row>
    <row r="1068" spans="1:18" s="1" customFormat="1" ht="25.5" x14ac:dyDescent="0.2">
      <c r="A1068" s="45" t="s">
        <v>3156</v>
      </c>
      <c r="B1068" s="45">
        <v>34354</v>
      </c>
      <c r="C1068" s="50" t="s">
        <v>238</v>
      </c>
      <c r="D1068" s="50" t="s">
        <v>2236</v>
      </c>
      <c r="E1068" s="80" t="s">
        <v>2639</v>
      </c>
      <c r="F1068" s="50" t="s">
        <v>94</v>
      </c>
      <c r="G1068" s="50" t="s">
        <v>3157</v>
      </c>
      <c r="H1068" s="88">
        <v>4300</v>
      </c>
      <c r="I1068" s="88"/>
      <c r="J1068" s="89"/>
      <c r="K1068" s="89"/>
      <c r="L1068" s="89">
        <f t="shared" si="32"/>
        <v>4300</v>
      </c>
      <c r="M1068" s="87">
        <f t="shared" si="33"/>
        <v>4300</v>
      </c>
      <c r="N1068" s="89"/>
      <c r="O1068" s="89"/>
      <c r="P1068" s="48">
        <v>41192</v>
      </c>
      <c r="Q1068" s="68">
        <v>41374</v>
      </c>
      <c r="R1068" s="49">
        <v>11926</v>
      </c>
    </row>
    <row r="1069" spans="1:18" s="1" customFormat="1" ht="25.5" x14ac:dyDescent="0.2">
      <c r="A1069" s="45" t="s">
        <v>3158</v>
      </c>
      <c r="B1069" s="45">
        <v>34345</v>
      </c>
      <c r="C1069" s="50" t="s">
        <v>1599</v>
      </c>
      <c r="D1069" s="50" t="s">
        <v>3159</v>
      </c>
      <c r="E1069" s="80" t="s">
        <v>2639</v>
      </c>
      <c r="F1069" s="50" t="s">
        <v>98</v>
      </c>
      <c r="G1069" s="50" t="s">
        <v>3160</v>
      </c>
      <c r="H1069" s="88">
        <v>4334</v>
      </c>
      <c r="I1069" s="88"/>
      <c r="J1069" s="89"/>
      <c r="K1069" s="89"/>
      <c r="L1069" s="89">
        <f t="shared" si="32"/>
        <v>4334</v>
      </c>
      <c r="M1069" s="87">
        <f t="shared" si="33"/>
        <v>4334</v>
      </c>
      <c r="N1069" s="89"/>
      <c r="O1069" s="89"/>
      <c r="P1069" s="48">
        <v>41183</v>
      </c>
      <c r="Q1069" s="68">
        <v>41365</v>
      </c>
      <c r="R1069" s="49">
        <v>11288</v>
      </c>
    </row>
    <row r="1070" spans="1:18" s="1" customFormat="1" ht="25.5" x14ac:dyDescent="0.2">
      <c r="A1070" s="45" t="s">
        <v>3161</v>
      </c>
      <c r="B1070" s="45">
        <v>34316</v>
      </c>
      <c r="C1070" s="50" t="s">
        <v>43</v>
      </c>
      <c r="D1070" s="50" t="s">
        <v>3162</v>
      </c>
      <c r="E1070" s="80" t="s">
        <v>2639</v>
      </c>
      <c r="F1070" s="50" t="s">
        <v>94</v>
      </c>
      <c r="G1070" s="50" t="s">
        <v>3163</v>
      </c>
      <c r="H1070" s="88">
        <v>2470</v>
      </c>
      <c r="I1070" s="88"/>
      <c r="J1070" s="89"/>
      <c r="K1070" s="89"/>
      <c r="L1070" s="89">
        <f t="shared" si="32"/>
        <v>2470</v>
      </c>
      <c r="M1070" s="87">
        <f t="shared" si="33"/>
        <v>2470</v>
      </c>
      <c r="N1070" s="89"/>
      <c r="O1070" s="89"/>
      <c r="P1070" s="48">
        <v>41192</v>
      </c>
      <c r="Q1070" s="68">
        <v>41374</v>
      </c>
      <c r="R1070" s="49">
        <v>11807</v>
      </c>
    </row>
    <row r="1071" spans="1:18" s="1" customFormat="1" ht="25.5" x14ac:dyDescent="0.2">
      <c r="A1071" s="45" t="s">
        <v>3164</v>
      </c>
      <c r="B1071" s="45">
        <v>34343</v>
      </c>
      <c r="C1071" s="50" t="s">
        <v>43</v>
      </c>
      <c r="D1071" s="50" t="s">
        <v>3165</v>
      </c>
      <c r="E1071" s="80" t="s">
        <v>2639</v>
      </c>
      <c r="F1071" s="50" t="s">
        <v>98</v>
      </c>
      <c r="G1071" s="50" t="s">
        <v>3166</v>
      </c>
      <c r="H1071" s="88">
        <v>2907.6</v>
      </c>
      <c r="I1071" s="88"/>
      <c r="J1071" s="89"/>
      <c r="K1071" s="89"/>
      <c r="L1071" s="89">
        <f t="shared" si="32"/>
        <v>2907.6</v>
      </c>
      <c r="M1071" s="87">
        <f t="shared" si="33"/>
        <v>2907.6</v>
      </c>
      <c r="N1071" s="89"/>
      <c r="O1071" s="89"/>
      <c r="P1071" s="48">
        <v>41198</v>
      </c>
      <c r="Q1071" s="68">
        <v>41380</v>
      </c>
      <c r="R1071" s="49">
        <v>11813</v>
      </c>
    </row>
    <row r="1072" spans="1:18" s="1" customFormat="1" ht="38.25" x14ac:dyDescent="0.2">
      <c r="A1072" s="45" t="s">
        <v>3167</v>
      </c>
      <c r="B1072" s="45">
        <v>34368</v>
      </c>
      <c r="C1072" s="50" t="s">
        <v>43</v>
      </c>
      <c r="D1072" s="50" t="s">
        <v>3168</v>
      </c>
      <c r="E1072" s="80" t="s">
        <v>2639</v>
      </c>
      <c r="F1072" s="50" t="s">
        <v>98</v>
      </c>
      <c r="G1072" s="50" t="s">
        <v>3169</v>
      </c>
      <c r="H1072" s="88">
        <v>2590</v>
      </c>
      <c r="I1072" s="88"/>
      <c r="J1072" s="89"/>
      <c r="K1072" s="89"/>
      <c r="L1072" s="89">
        <f t="shared" si="32"/>
        <v>2590</v>
      </c>
      <c r="M1072" s="87">
        <f t="shared" si="33"/>
        <v>2590</v>
      </c>
      <c r="N1072" s="89"/>
      <c r="O1072" s="89"/>
      <c r="P1072" s="48">
        <v>41198</v>
      </c>
      <c r="Q1072" s="68">
        <v>41380</v>
      </c>
      <c r="R1072" s="49">
        <v>11814</v>
      </c>
    </row>
    <row r="1073" spans="1:38" ht="25.5" x14ac:dyDescent="0.2">
      <c r="A1073" s="45" t="s">
        <v>3170</v>
      </c>
      <c r="B1073" s="45">
        <v>34141</v>
      </c>
      <c r="C1073" s="50" t="s">
        <v>107</v>
      </c>
      <c r="D1073" s="50" t="s">
        <v>2723</v>
      </c>
      <c r="E1073" s="80" t="s">
        <v>2639</v>
      </c>
      <c r="F1073" s="50" t="s">
        <v>167</v>
      </c>
      <c r="G1073" s="50" t="s">
        <v>3171</v>
      </c>
      <c r="H1073" s="88">
        <v>4410</v>
      </c>
      <c r="I1073" s="88"/>
      <c r="J1073" s="89"/>
      <c r="K1073" s="89"/>
      <c r="L1073" s="89">
        <f t="shared" si="32"/>
        <v>4410</v>
      </c>
      <c r="M1073" s="87">
        <f t="shared" si="33"/>
        <v>4410</v>
      </c>
      <c r="N1073" s="89"/>
      <c r="O1073" s="89"/>
      <c r="P1073" s="48">
        <v>41190</v>
      </c>
      <c r="Q1073" s="68">
        <v>41372</v>
      </c>
      <c r="R1073" s="49">
        <v>11714</v>
      </c>
    </row>
    <row r="1074" spans="1:38" ht="25.5" x14ac:dyDescent="0.2">
      <c r="A1074" s="45" t="s">
        <v>3172</v>
      </c>
      <c r="B1074" s="45">
        <v>34576</v>
      </c>
      <c r="C1074" s="50" t="s">
        <v>1987</v>
      </c>
      <c r="D1074" s="50" t="s">
        <v>3173</v>
      </c>
      <c r="E1074" s="80" t="s">
        <v>2331</v>
      </c>
      <c r="F1074" s="50" t="s">
        <v>98</v>
      </c>
      <c r="G1074" s="50" t="s">
        <v>3174</v>
      </c>
      <c r="H1074" s="88">
        <v>249182.5</v>
      </c>
      <c r="I1074" s="88"/>
      <c r="J1074" s="89"/>
      <c r="K1074" s="89"/>
      <c r="L1074" s="89">
        <f t="shared" si="32"/>
        <v>249182.5</v>
      </c>
      <c r="M1074" s="87">
        <f t="shared" si="33"/>
        <v>249182.5</v>
      </c>
      <c r="N1074" s="89"/>
      <c r="O1074" s="89"/>
      <c r="P1074" s="48">
        <v>41197</v>
      </c>
      <c r="Q1074" s="68">
        <v>42977</v>
      </c>
      <c r="R1074" s="49">
        <v>11928</v>
      </c>
    </row>
    <row r="1075" spans="1:38" ht="25.5" x14ac:dyDescent="0.2">
      <c r="A1075" s="45" t="s">
        <v>3175</v>
      </c>
      <c r="B1075" s="45">
        <v>34579</v>
      </c>
      <c r="C1075" s="50" t="s">
        <v>43</v>
      </c>
      <c r="D1075" s="50" t="s">
        <v>3176</v>
      </c>
      <c r="E1075" s="80" t="s">
        <v>2331</v>
      </c>
      <c r="F1075" s="50" t="s">
        <v>398</v>
      </c>
      <c r="G1075" s="50" t="s">
        <v>3177</v>
      </c>
      <c r="H1075" s="88">
        <v>40000</v>
      </c>
      <c r="I1075" s="88"/>
      <c r="J1075" s="89"/>
      <c r="K1075" s="89"/>
      <c r="L1075" s="89">
        <f t="shared" si="32"/>
        <v>40000</v>
      </c>
      <c r="M1075" s="87">
        <f t="shared" si="33"/>
        <v>40000</v>
      </c>
      <c r="N1075" s="89"/>
      <c r="O1075" s="89"/>
      <c r="P1075" s="48">
        <v>41190</v>
      </c>
      <c r="Q1075" s="68">
        <v>41608</v>
      </c>
      <c r="R1075" s="49">
        <v>11507</v>
      </c>
    </row>
    <row r="1076" spans="1:38" ht="38.25" x14ac:dyDescent="0.2">
      <c r="A1076" s="45" t="s">
        <v>3178</v>
      </c>
      <c r="B1076" s="45">
        <v>26174</v>
      </c>
      <c r="C1076" s="50" t="s">
        <v>457</v>
      </c>
      <c r="D1076" s="50" t="s">
        <v>3179</v>
      </c>
      <c r="E1076" s="80" t="s">
        <v>21</v>
      </c>
      <c r="F1076" s="50" t="s">
        <v>167</v>
      </c>
      <c r="G1076" s="50" t="s">
        <v>3180</v>
      </c>
      <c r="H1076" s="88">
        <v>5985.8</v>
      </c>
      <c r="I1076" s="88"/>
      <c r="J1076" s="89"/>
      <c r="K1076" s="89"/>
      <c r="L1076" s="89">
        <f t="shared" si="32"/>
        <v>5985.8</v>
      </c>
      <c r="M1076" s="87">
        <f t="shared" si="33"/>
        <v>5985.8</v>
      </c>
      <c r="N1076" s="89"/>
      <c r="O1076" s="89"/>
      <c r="P1076" s="48">
        <v>41197</v>
      </c>
      <c r="Q1076" s="68">
        <v>41320</v>
      </c>
      <c r="R1076" s="49">
        <v>11495</v>
      </c>
    </row>
    <row r="1077" spans="1:38" ht="38.25" x14ac:dyDescent="0.2">
      <c r="A1077" s="45" t="s">
        <v>3181</v>
      </c>
      <c r="B1077" s="45">
        <v>25700</v>
      </c>
      <c r="C1077" s="50" t="s">
        <v>43</v>
      </c>
      <c r="D1077" s="50" t="s">
        <v>3182</v>
      </c>
      <c r="E1077" s="80" t="s">
        <v>21</v>
      </c>
      <c r="F1077" s="50" t="s">
        <v>94</v>
      </c>
      <c r="G1077" s="50" t="s">
        <v>3183</v>
      </c>
      <c r="H1077" s="88">
        <v>860</v>
      </c>
      <c r="I1077" s="88"/>
      <c r="J1077" s="89"/>
      <c r="K1077" s="89"/>
      <c r="L1077" s="89">
        <f t="shared" si="32"/>
        <v>860</v>
      </c>
      <c r="M1077" s="87">
        <f t="shared" si="33"/>
        <v>860</v>
      </c>
      <c r="N1077" s="89"/>
      <c r="O1077" s="89"/>
      <c r="P1077" s="48">
        <v>41218</v>
      </c>
      <c r="Q1077" s="68">
        <v>41338</v>
      </c>
      <c r="R1077" s="49">
        <v>12255</v>
      </c>
    </row>
    <row r="1078" spans="1:38" ht="51" x14ac:dyDescent="0.2">
      <c r="A1078" s="45" t="s">
        <v>3184</v>
      </c>
      <c r="B1078" s="45">
        <v>26189</v>
      </c>
      <c r="C1078" s="50" t="s">
        <v>35</v>
      </c>
      <c r="D1078" s="50" t="s">
        <v>3051</v>
      </c>
      <c r="E1078" s="80" t="s">
        <v>21</v>
      </c>
      <c r="F1078" s="50" t="s">
        <v>398</v>
      </c>
      <c r="G1078" s="50" t="s">
        <v>3185</v>
      </c>
      <c r="H1078" s="88">
        <v>1800</v>
      </c>
      <c r="I1078" s="88"/>
      <c r="J1078" s="89"/>
      <c r="K1078" s="89"/>
      <c r="L1078" s="89">
        <f t="shared" si="32"/>
        <v>1800</v>
      </c>
      <c r="M1078" s="87">
        <f t="shared" si="33"/>
        <v>1800</v>
      </c>
      <c r="N1078" s="89"/>
      <c r="O1078" s="89"/>
      <c r="P1078" s="48">
        <v>41225</v>
      </c>
      <c r="Q1078" s="68">
        <v>41345</v>
      </c>
      <c r="R1078" s="49">
        <v>12019</v>
      </c>
    </row>
    <row r="1079" spans="1:38" ht="25.5" x14ac:dyDescent="0.2">
      <c r="A1079" s="45" t="s">
        <v>3186</v>
      </c>
      <c r="B1079" s="64">
        <v>32966</v>
      </c>
      <c r="C1079" s="50" t="s">
        <v>238</v>
      </c>
      <c r="D1079" s="50" t="s">
        <v>3187</v>
      </c>
      <c r="E1079" s="50" t="s">
        <v>308</v>
      </c>
      <c r="F1079" s="50" t="s">
        <v>98</v>
      </c>
      <c r="G1079" s="50" t="s">
        <v>3188</v>
      </c>
      <c r="H1079" s="88">
        <v>15000</v>
      </c>
      <c r="I1079" s="88"/>
      <c r="J1079" s="89"/>
      <c r="K1079" s="89"/>
      <c r="L1079" s="89">
        <f t="shared" si="32"/>
        <v>15000</v>
      </c>
      <c r="M1079" s="87">
        <f t="shared" si="33"/>
        <v>15000</v>
      </c>
      <c r="N1079" s="89"/>
      <c r="O1079" s="89"/>
      <c r="P1079" s="48">
        <v>41197</v>
      </c>
      <c r="Q1079" s="68">
        <v>41379</v>
      </c>
      <c r="R1079" s="49">
        <v>11939</v>
      </c>
    </row>
    <row r="1080" spans="1:38" s="44" customFormat="1" ht="31.35" customHeight="1" x14ac:dyDescent="0.2">
      <c r="A1080" s="65" t="s">
        <v>3189</v>
      </c>
      <c r="B1080" s="70">
        <v>32762</v>
      </c>
      <c r="C1080" s="85" t="s">
        <v>2297</v>
      </c>
      <c r="D1080" s="85" t="s">
        <v>2298</v>
      </c>
      <c r="E1080" s="85" t="s">
        <v>308</v>
      </c>
      <c r="F1080" s="85" t="s">
        <v>98</v>
      </c>
      <c r="G1080" s="85" t="s">
        <v>3190</v>
      </c>
      <c r="H1080" s="95">
        <v>4840</v>
      </c>
      <c r="I1080" s="95"/>
      <c r="J1080" s="96"/>
      <c r="K1080" s="96"/>
      <c r="L1080" s="96">
        <f t="shared" si="32"/>
        <v>4840</v>
      </c>
      <c r="M1080" s="97">
        <v>0</v>
      </c>
      <c r="N1080" s="96"/>
      <c r="O1080" s="96"/>
      <c r="P1080" s="67" t="s">
        <v>3191</v>
      </c>
      <c r="Q1080" s="71" t="s">
        <v>3191</v>
      </c>
      <c r="R1080" s="66"/>
      <c r="S1080" s="43"/>
      <c r="T1080" s="43"/>
      <c r="U1080" s="43"/>
      <c r="V1080" s="43"/>
      <c r="W1080" s="43"/>
      <c r="X1080" s="43"/>
      <c r="Y1080" s="43"/>
      <c r="Z1080" s="43"/>
      <c r="AA1080" s="43"/>
      <c r="AB1080" s="43"/>
      <c r="AC1080" s="43"/>
      <c r="AD1080" s="43"/>
      <c r="AE1080" s="43"/>
      <c r="AF1080" s="43"/>
      <c r="AG1080" s="43"/>
      <c r="AH1080" s="43"/>
      <c r="AI1080" s="43"/>
      <c r="AJ1080" s="43"/>
      <c r="AK1080" s="43"/>
      <c r="AL1080" s="43"/>
    </row>
    <row r="1081" spans="1:38" ht="38.25" x14ac:dyDescent="0.2">
      <c r="A1081" s="45" t="s">
        <v>3192</v>
      </c>
      <c r="B1081" s="64">
        <v>33032</v>
      </c>
      <c r="C1081" s="50" t="s">
        <v>263</v>
      </c>
      <c r="D1081" s="50" t="s">
        <v>3193</v>
      </c>
      <c r="E1081" s="50" t="s">
        <v>308</v>
      </c>
      <c r="F1081" s="50" t="s">
        <v>98</v>
      </c>
      <c r="G1081" s="50" t="s">
        <v>3194</v>
      </c>
      <c r="H1081" s="88">
        <v>5995.59</v>
      </c>
      <c r="I1081" s="88"/>
      <c r="J1081" s="89"/>
      <c r="K1081" s="89"/>
      <c r="L1081" s="89">
        <f t="shared" si="32"/>
        <v>5995.59</v>
      </c>
      <c r="M1081" s="87">
        <f t="shared" si="33"/>
        <v>5995.59</v>
      </c>
      <c r="N1081" s="89"/>
      <c r="O1081" s="89"/>
      <c r="P1081" s="48">
        <v>41211</v>
      </c>
      <c r="Q1081" s="68">
        <v>41393</v>
      </c>
      <c r="R1081" s="49">
        <v>11863</v>
      </c>
    </row>
    <row r="1082" spans="1:38" ht="38.25" x14ac:dyDescent="0.2">
      <c r="A1082" s="45" t="s">
        <v>3195</v>
      </c>
      <c r="B1082" s="64">
        <v>32635</v>
      </c>
      <c r="C1082" s="50" t="s">
        <v>107</v>
      </c>
      <c r="D1082" s="50" t="s">
        <v>3196</v>
      </c>
      <c r="E1082" s="50" t="s">
        <v>308</v>
      </c>
      <c r="F1082" s="50" t="s">
        <v>167</v>
      </c>
      <c r="G1082" s="50" t="s">
        <v>3197</v>
      </c>
      <c r="H1082" s="88">
        <v>15000</v>
      </c>
      <c r="I1082" s="88"/>
      <c r="J1082" s="89"/>
      <c r="K1082" s="89"/>
      <c r="L1082" s="89">
        <f t="shared" si="32"/>
        <v>15000</v>
      </c>
      <c r="M1082" s="87">
        <f t="shared" si="33"/>
        <v>15000</v>
      </c>
      <c r="N1082" s="89"/>
      <c r="O1082" s="89"/>
      <c r="P1082" s="48">
        <v>41197</v>
      </c>
      <c r="Q1082" s="68">
        <v>41379</v>
      </c>
      <c r="R1082" s="49">
        <v>11829</v>
      </c>
    </row>
    <row r="1083" spans="1:38" ht="25.5" x14ac:dyDescent="0.2">
      <c r="A1083" s="45" t="s">
        <v>3198</v>
      </c>
      <c r="B1083" s="64">
        <v>32864</v>
      </c>
      <c r="C1083" s="50" t="s">
        <v>66</v>
      </c>
      <c r="D1083" s="50" t="s">
        <v>3199</v>
      </c>
      <c r="E1083" s="50" t="s">
        <v>308</v>
      </c>
      <c r="F1083" s="50" t="s">
        <v>98</v>
      </c>
      <c r="G1083" s="50" t="s">
        <v>3200</v>
      </c>
      <c r="H1083" s="88">
        <v>3000</v>
      </c>
      <c r="I1083" s="88"/>
      <c r="J1083" s="89"/>
      <c r="K1083" s="89"/>
      <c r="L1083" s="89">
        <f t="shared" si="32"/>
        <v>3000</v>
      </c>
      <c r="M1083" s="87">
        <f t="shared" si="33"/>
        <v>3000</v>
      </c>
      <c r="N1083" s="89"/>
      <c r="O1083" s="89"/>
      <c r="P1083" s="48">
        <v>41206</v>
      </c>
      <c r="Q1083" s="68">
        <v>41388</v>
      </c>
      <c r="R1083" s="49">
        <v>11948</v>
      </c>
    </row>
    <row r="1084" spans="1:38" ht="25.5" x14ac:dyDescent="0.2">
      <c r="A1084" s="45" t="s">
        <v>3201</v>
      </c>
      <c r="B1084" s="64">
        <v>32778</v>
      </c>
      <c r="C1084" s="50" t="s">
        <v>66</v>
      </c>
      <c r="D1084" s="50" t="s">
        <v>3202</v>
      </c>
      <c r="E1084" s="50" t="s">
        <v>308</v>
      </c>
      <c r="F1084" s="50" t="s">
        <v>98</v>
      </c>
      <c r="G1084" s="50" t="s">
        <v>3203</v>
      </c>
      <c r="H1084" s="88">
        <v>8590</v>
      </c>
      <c r="I1084" s="88"/>
      <c r="J1084" s="89"/>
      <c r="K1084" s="89"/>
      <c r="L1084" s="89">
        <f t="shared" si="32"/>
        <v>8590</v>
      </c>
      <c r="M1084" s="87">
        <f t="shared" si="33"/>
        <v>8590</v>
      </c>
      <c r="N1084" s="89"/>
      <c r="O1084" s="89"/>
      <c r="P1084" s="48">
        <v>41204</v>
      </c>
      <c r="Q1084" s="68">
        <v>41386</v>
      </c>
      <c r="R1084" s="49">
        <v>11983</v>
      </c>
    </row>
    <row r="1085" spans="1:38" ht="25.5" x14ac:dyDescent="0.2">
      <c r="A1085" s="45" t="s">
        <v>3204</v>
      </c>
      <c r="B1085" s="64">
        <v>32842</v>
      </c>
      <c r="C1085" s="50" t="s">
        <v>19</v>
      </c>
      <c r="D1085" s="50" t="s">
        <v>3205</v>
      </c>
      <c r="E1085" s="50" t="s">
        <v>308</v>
      </c>
      <c r="F1085" s="50" t="s">
        <v>87</v>
      </c>
      <c r="G1085" s="50" t="s">
        <v>3206</v>
      </c>
      <c r="H1085" s="88">
        <v>8320</v>
      </c>
      <c r="I1085" s="88"/>
      <c r="J1085" s="89"/>
      <c r="K1085" s="89"/>
      <c r="L1085" s="89">
        <f t="shared" si="32"/>
        <v>8320</v>
      </c>
      <c r="M1085" s="87">
        <f t="shared" si="33"/>
        <v>8320</v>
      </c>
      <c r="N1085" s="89"/>
      <c r="O1085" s="89"/>
      <c r="P1085" s="48">
        <v>41212</v>
      </c>
      <c r="Q1085" s="68">
        <v>41394</v>
      </c>
      <c r="R1085" s="49">
        <v>11978</v>
      </c>
    </row>
    <row r="1086" spans="1:38" s="44" customFormat="1" ht="25.5" x14ac:dyDescent="0.2">
      <c r="A1086" s="65" t="s">
        <v>3207</v>
      </c>
      <c r="B1086" s="70">
        <v>32899</v>
      </c>
      <c r="C1086" s="85" t="s">
        <v>19</v>
      </c>
      <c r="D1086" s="85" t="s">
        <v>3208</v>
      </c>
      <c r="E1086" s="85" t="s">
        <v>308</v>
      </c>
      <c r="F1086" s="85" t="s">
        <v>71</v>
      </c>
      <c r="G1086" s="85" t="s">
        <v>3209</v>
      </c>
      <c r="H1086" s="95">
        <v>12020</v>
      </c>
      <c r="I1086" s="95"/>
      <c r="J1086" s="95"/>
      <c r="K1086" s="95"/>
      <c r="L1086" s="96">
        <f t="shared" si="32"/>
        <v>12020</v>
      </c>
      <c r="M1086" s="97">
        <v>0</v>
      </c>
      <c r="N1086" s="96"/>
      <c r="O1086" s="96"/>
      <c r="P1086" s="67" t="s">
        <v>3191</v>
      </c>
      <c r="Q1086" s="71" t="s">
        <v>3191</v>
      </c>
      <c r="R1086" s="66"/>
      <c r="S1086" s="43"/>
      <c r="T1086" s="43"/>
      <c r="U1086" s="43"/>
      <c r="V1086" s="43"/>
      <c r="W1086" s="43"/>
      <c r="X1086" s="43"/>
      <c r="Y1086" s="43"/>
      <c r="Z1086" s="43"/>
      <c r="AA1086" s="43"/>
      <c r="AB1086" s="43"/>
      <c r="AC1086" s="43"/>
      <c r="AD1086" s="43"/>
      <c r="AE1086" s="43"/>
      <c r="AF1086" s="43"/>
      <c r="AG1086" s="43"/>
      <c r="AH1086" s="43"/>
      <c r="AI1086" s="43"/>
      <c r="AJ1086" s="43"/>
      <c r="AK1086" s="43"/>
      <c r="AL1086" s="43"/>
    </row>
    <row r="1087" spans="1:38" ht="25.5" x14ac:dyDescent="0.2">
      <c r="A1087" s="45" t="s">
        <v>3210</v>
      </c>
      <c r="B1087" s="64">
        <v>33066</v>
      </c>
      <c r="C1087" s="50" t="s">
        <v>19</v>
      </c>
      <c r="D1087" s="50" t="s">
        <v>3211</v>
      </c>
      <c r="E1087" s="50" t="s">
        <v>308</v>
      </c>
      <c r="F1087" s="50" t="s">
        <v>167</v>
      </c>
      <c r="G1087" s="50" t="s">
        <v>3212</v>
      </c>
      <c r="H1087" s="88">
        <v>10806</v>
      </c>
      <c r="I1087" s="88"/>
      <c r="J1087" s="89"/>
      <c r="K1087" s="89"/>
      <c r="L1087" s="89">
        <f t="shared" si="32"/>
        <v>10806</v>
      </c>
      <c r="M1087" s="87">
        <f t="shared" si="33"/>
        <v>10806</v>
      </c>
      <c r="N1087" s="89"/>
      <c r="O1087" s="89"/>
      <c r="P1087" s="48">
        <v>41212</v>
      </c>
      <c r="Q1087" s="68">
        <v>41394</v>
      </c>
      <c r="R1087" s="49">
        <v>11979</v>
      </c>
    </row>
    <row r="1088" spans="1:38" s="44" customFormat="1" ht="38.25" x14ac:dyDescent="0.2">
      <c r="A1088" s="65" t="s">
        <v>3213</v>
      </c>
      <c r="B1088" s="70">
        <v>33008</v>
      </c>
      <c r="C1088" s="85" t="s">
        <v>19</v>
      </c>
      <c r="D1088" s="85" t="s">
        <v>3214</v>
      </c>
      <c r="E1088" s="85" t="s">
        <v>308</v>
      </c>
      <c r="F1088" s="85" t="s">
        <v>94</v>
      </c>
      <c r="G1088" s="85" t="s">
        <v>3215</v>
      </c>
      <c r="H1088" s="95">
        <v>17733</v>
      </c>
      <c r="I1088" s="95"/>
      <c r="J1088" s="96"/>
      <c r="K1088" s="96"/>
      <c r="L1088" s="96">
        <f t="shared" si="32"/>
        <v>17733</v>
      </c>
      <c r="M1088" s="97">
        <v>0</v>
      </c>
      <c r="N1088" s="96"/>
      <c r="O1088" s="96"/>
      <c r="P1088" s="67" t="s">
        <v>3191</v>
      </c>
      <c r="Q1088" s="71" t="s">
        <v>3191</v>
      </c>
      <c r="R1088" s="66"/>
      <c r="S1088" s="43"/>
      <c r="T1088" s="43"/>
      <c r="U1088" s="43"/>
      <c r="V1088" s="43"/>
      <c r="W1088" s="43"/>
      <c r="X1088" s="43"/>
      <c r="Y1088" s="43"/>
      <c r="Z1088" s="43"/>
      <c r="AA1088" s="43"/>
      <c r="AB1088" s="43"/>
      <c r="AC1088" s="43"/>
      <c r="AD1088" s="43"/>
      <c r="AE1088" s="43"/>
      <c r="AF1088" s="43"/>
      <c r="AG1088" s="43"/>
      <c r="AH1088" s="43"/>
      <c r="AI1088" s="43"/>
      <c r="AJ1088" s="43"/>
      <c r="AK1088" s="43"/>
      <c r="AL1088" s="43"/>
    </row>
    <row r="1089" spans="1:38" ht="25.5" x14ac:dyDescent="0.2">
      <c r="A1089" s="45" t="s">
        <v>3216</v>
      </c>
      <c r="B1089" s="64">
        <v>32600</v>
      </c>
      <c r="C1089" s="50" t="s">
        <v>19</v>
      </c>
      <c r="D1089" s="50" t="s">
        <v>1481</v>
      </c>
      <c r="E1089" s="50" t="s">
        <v>308</v>
      </c>
      <c r="F1089" s="50" t="s">
        <v>94</v>
      </c>
      <c r="G1089" s="50" t="s">
        <v>3217</v>
      </c>
      <c r="H1089" s="88">
        <v>15440</v>
      </c>
      <c r="I1089" s="88"/>
      <c r="J1089" s="89"/>
      <c r="K1089" s="89"/>
      <c r="L1089" s="89">
        <f t="shared" si="32"/>
        <v>15440</v>
      </c>
      <c r="M1089" s="87">
        <f t="shared" si="33"/>
        <v>15440</v>
      </c>
      <c r="N1089" s="89"/>
      <c r="O1089" s="89"/>
      <c r="P1089" s="48">
        <v>41212</v>
      </c>
      <c r="Q1089" s="68">
        <v>41394</v>
      </c>
      <c r="R1089" s="49">
        <v>11826</v>
      </c>
    </row>
    <row r="1090" spans="1:38" ht="38.25" x14ac:dyDescent="0.2">
      <c r="A1090" s="45" t="s">
        <v>3218</v>
      </c>
      <c r="B1090" s="64">
        <v>32980</v>
      </c>
      <c r="C1090" s="50" t="s">
        <v>19</v>
      </c>
      <c r="D1090" s="50" t="s">
        <v>3219</v>
      </c>
      <c r="E1090" s="50" t="s">
        <v>308</v>
      </c>
      <c r="F1090" s="50" t="s">
        <v>22</v>
      </c>
      <c r="G1090" s="50" t="s">
        <v>3220</v>
      </c>
      <c r="H1090" s="88">
        <v>15000</v>
      </c>
      <c r="I1090" s="88"/>
      <c r="J1090" s="89"/>
      <c r="K1090" s="89"/>
      <c r="L1090" s="89">
        <f t="shared" si="32"/>
        <v>15000</v>
      </c>
      <c r="M1090" s="87">
        <f t="shared" si="33"/>
        <v>15000</v>
      </c>
      <c r="N1090" s="89"/>
      <c r="O1090" s="89"/>
      <c r="P1090" s="48">
        <v>41212</v>
      </c>
      <c r="Q1090" s="68">
        <v>41394</v>
      </c>
      <c r="R1090" s="49">
        <v>11977</v>
      </c>
    </row>
    <row r="1091" spans="1:38" ht="51" x14ac:dyDescent="0.2">
      <c r="A1091" s="45" t="s">
        <v>3221</v>
      </c>
      <c r="B1091" s="64">
        <v>32981</v>
      </c>
      <c r="C1091" s="50" t="s">
        <v>35</v>
      </c>
      <c r="D1091" s="50" t="s">
        <v>3222</v>
      </c>
      <c r="E1091" s="50" t="s">
        <v>308</v>
      </c>
      <c r="F1091" s="50" t="s">
        <v>98</v>
      </c>
      <c r="G1091" s="50" t="s">
        <v>3223</v>
      </c>
      <c r="H1091" s="88">
        <v>5010</v>
      </c>
      <c r="I1091" s="88"/>
      <c r="J1091" s="89"/>
      <c r="K1091" s="89"/>
      <c r="L1091" s="89">
        <f t="shared" si="32"/>
        <v>5010</v>
      </c>
      <c r="M1091" s="87">
        <f t="shared" si="33"/>
        <v>5010</v>
      </c>
      <c r="N1091" s="89"/>
      <c r="O1091" s="89"/>
      <c r="P1091" s="48">
        <v>41199</v>
      </c>
      <c r="Q1091" s="68">
        <v>41381</v>
      </c>
      <c r="R1091" s="49">
        <v>11957</v>
      </c>
    </row>
    <row r="1092" spans="1:38" ht="25.5" x14ac:dyDescent="0.2">
      <c r="A1092" s="45" t="s">
        <v>3224</v>
      </c>
      <c r="B1092" s="64">
        <v>1535</v>
      </c>
      <c r="C1092" s="50" t="s">
        <v>35</v>
      </c>
      <c r="D1092" s="50" t="s">
        <v>3225</v>
      </c>
      <c r="E1092" s="50" t="s">
        <v>308</v>
      </c>
      <c r="F1092" s="50" t="s">
        <v>87</v>
      </c>
      <c r="G1092" s="50" t="s">
        <v>3226</v>
      </c>
      <c r="H1092" s="88">
        <v>7420</v>
      </c>
      <c r="I1092" s="88"/>
      <c r="J1092" s="89"/>
      <c r="K1092" s="89"/>
      <c r="L1092" s="89">
        <f t="shared" si="32"/>
        <v>7420</v>
      </c>
      <c r="M1092" s="87">
        <f t="shared" si="33"/>
        <v>7420</v>
      </c>
      <c r="N1092" s="89"/>
      <c r="O1092" s="89"/>
      <c r="P1092" s="48">
        <v>41199</v>
      </c>
      <c r="Q1092" s="68">
        <v>41381</v>
      </c>
      <c r="R1092" s="49">
        <v>11953</v>
      </c>
    </row>
    <row r="1093" spans="1:38" s="44" customFormat="1" ht="29.85" customHeight="1" x14ac:dyDescent="0.2">
      <c r="A1093" s="65" t="s">
        <v>3227</v>
      </c>
      <c r="B1093" s="70">
        <v>32754</v>
      </c>
      <c r="C1093" s="85" t="s">
        <v>35</v>
      </c>
      <c r="D1093" s="85" t="s">
        <v>3228</v>
      </c>
      <c r="E1093" s="85" t="s">
        <v>308</v>
      </c>
      <c r="F1093" s="85" t="s">
        <v>45</v>
      </c>
      <c r="G1093" s="85" t="s">
        <v>3229</v>
      </c>
      <c r="H1093" s="95">
        <v>15000</v>
      </c>
      <c r="I1093" s="95"/>
      <c r="J1093" s="95"/>
      <c r="K1093" s="95"/>
      <c r="L1093" s="96">
        <f t="shared" si="32"/>
        <v>15000</v>
      </c>
      <c r="M1093" s="97">
        <v>0</v>
      </c>
      <c r="N1093" s="96"/>
      <c r="O1093" s="96"/>
      <c r="P1093" s="67" t="s">
        <v>3191</v>
      </c>
      <c r="Q1093" s="71" t="s">
        <v>3191</v>
      </c>
      <c r="R1093" s="66"/>
      <c r="S1093" s="43"/>
      <c r="T1093" s="43"/>
      <c r="U1093" s="43"/>
      <c r="V1093" s="43"/>
      <c r="W1093" s="43"/>
      <c r="X1093" s="43"/>
      <c r="Y1093" s="43"/>
      <c r="Z1093" s="43"/>
      <c r="AA1093" s="43"/>
      <c r="AB1093" s="43"/>
      <c r="AC1093" s="43"/>
      <c r="AD1093" s="43"/>
      <c r="AE1093" s="43"/>
      <c r="AF1093" s="43"/>
      <c r="AG1093" s="43"/>
      <c r="AH1093" s="43"/>
      <c r="AI1093" s="43"/>
      <c r="AJ1093" s="43"/>
      <c r="AK1093" s="43"/>
      <c r="AL1093" s="43"/>
    </row>
    <row r="1094" spans="1:38" ht="25.5" x14ac:dyDescent="0.2">
      <c r="A1094" s="45" t="s">
        <v>3230</v>
      </c>
      <c r="B1094" s="64">
        <v>32987</v>
      </c>
      <c r="C1094" s="50" t="s">
        <v>457</v>
      </c>
      <c r="D1094" s="50" t="s">
        <v>3231</v>
      </c>
      <c r="E1094" s="50" t="s">
        <v>308</v>
      </c>
      <c r="F1094" s="50" t="s">
        <v>167</v>
      </c>
      <c r="G1094" s="50" t="s">
        <v>3232</v>
      </c>
      <c r="H1094" s="88">
        <v>15000</v>
      </c>
      <c r="I1094" s="88"/>
      <c r="J1094" s="89"/>
      <c r="K1094" s="89"/>
      <c r="L1094" s="89">
        <f t="shared" si="32"/>
        <v>15000</v>
      </c>
      <c r="M1094" s="87">
        <f t="shared" si="33"/>
        <v>15000</v>
      </c>
      <c r="N1094" s="89"/>
      <c r="O1094" s="89"/>
      <c r="P1094" s="48">
        <v>41201</v>
      </c>
      <c r="Q1094" s="68">
        <v>41383</v>
      </c>
      <c r="R1094" s="49">
        <v>11954</v>
      </c>
    </row>
    <row r="1095" spans="1:38" ht="25.5" x14ac:dyDescent="0.2">
      <c r="A1095" s="45" t="s">
        <v>3233</v>
      </c>
      <c r="B1095" s="64">
        <v>32863</v>
      </c>
      <c r="C1095" s="50" t="s">
        <v>534</v>
      </c>
      <c r="D1095" s="50" t="s">
        <v>3234</v>
      </c>
      <c r="E1095" s="50" t="s">
        <v>308</v>
      </c>
      <c r="F1095" s="50" t="s">
        <v>45</v>
      </c>
      <c r="G1095" s="50" t="s">
        <v>3235</v>
      </c>
      <c r="H1095" s="88">
        <v>15000</v>
      </c>
      <c r="I1095" s="88"/>
      <c r="J1095" s="89"/>
      <c r="K1095" s="89"/>
      <c r="L1095" s="89">
        <f t="shared" ref="L1095:L1158" si="34">H1095+I1095+J1095+K1095</f>
        <v>15000</v>
      </c>
      <c r="M1095" s="87">
        <f t="shared" ref="M1095:M1158" si="35">SUM(L1095)</f>
        <v>15000</v>
      </c>
      <c r="N1095" s="89"/>
      <c r="O1095" s="89"/>
      <c r="P1095" s="48">
        <v>41197</v>
      </c>
      <c r="Q1095" s="68">
        <v>41379</v>
      </c>
      <c r="R1095" s="49">
        <v>11825</v>
      </c>
    </row>
    <row r="1096" spans="1:38" ht="25.5" x14ac:dyDescent="0.2">
      <c r="A1096" s="45" t="s">
        <v>3236</v>
      </c>
      <c r="B1096" s="64">
        <v>32927</v>
      </c>
      <c r="C1096" s="50" t="s">
        <v>534</v>
      </c>
      <c r="D1096" s="50" t="s">
        <v>3237</v>
      </c>
      <c r="E1096" s="50" t="s">
        <v>308</v>
      </c>
      <c r="F1096" s="50" t="s">
        <v>45</v>
      </c>
      <c r="G1096" s="50" t="s">
        <v>3238</v>
      </c>
      <c r="H1096" s="88">
        <v>15850</v>
      </c>
      <c r="I1096" s="88"/>
      <c r="J1096" s="89"/>
      <c r="K1096" s="89"/>
      <c r="L1096" s="89">
        <f t="shared" si="34"/>
        <v>15850</v>
      </c>
      <c r="M1096" s="87">
        <f t="shared" si="35"/>
        <v>15850</v>
      </c>
      <c r="N1096" s="89"/>
      <c r="O1096" s="89"/>
      <c r="P1096" s="48">
        <v>41197</v>
      </c>
      <c r="Q1096" s="68">
        <v>41379</v>
      </c>
      <c r="R1096" s="49">
        <v>11823</v>
      </c>
    </row>
    <row r="1097" spans="1:38" ht="51" x14ac:dyDescent="0.2">
      <c r="A1097" s="45" t="s">
        <v>3239</v>
      </c>
      <c r="B1097" s="57">
        <v>13355</v>
      </c>
      <c r="C1097" s="60" t="s">
        <v>3240</v>
      </c>
      <c r="D1097" s="60" t="s">
        <v>3241</v>
      </c>
      <c r="E1097" s="50" t="s">
        <v>2360</v>
      </c>
      <c r="F1097" s="50" t="s">
        <v>98</v>
      </c>
      <c r="G1097" s="60" t="s">
        <v>3242</v>
      </c>
      <c r="H1097" s="99"/>
      <c r="I1097" s="100">
        <v>15000</v>
      </c>
      <c r="J1097" s="99"/>
      <c r="K1097" s="99"/>
      <c r="L1097" s="89">
        <f t="shared" si="34"/>
        <v>15000</v>
      </c>
      <c r="M1097" s="87">
        <f t="shared" si="35"/>
        <v>15000</v>
      </c>
      <c r="N1097" s="89"/>
      <c r="O1097" s="89"/>
      <c r="P1097" s="48">
        <v>41183</v>
      </c>
      <c r="Q1097" s="68">
        <v>41640</v>
      </c>
      <c r="R1097" s="49">
        <v>11684</v>
      </c>
    </row>
    <row r="1098" spans="1:38" ht="25.5" x14ac:dyDescent="0.2">
      <c r="A1098" s="45" t="s">
        <v>3243</v>
      </c>
      <c r="B1098" s="57">
        <v>21673</v>
      </c>
      <c r="C1098" s="60" t="s">
        <v>3240</v>
      </c>
      <c r="D1098" s="60" t="s">
        <v>3244</v>
      </c>
      <c r="E1098" s="50" t="s">
        <v>2360</v>
      </c>
      <c r="F1098" s="50" t="s">
        <v>71</v>
      </c>
      <c r="G1098" s="60" t="s">
        <v>3245</v>
      </c>
      <c r="H1098" s="99"/>
      <c r="I1098" s="100">
        <v>15000</v>
      </c>
      <c r="J1098" s="99"/>
      <c r="K1098" s="99"/>
      <c r="L1098" s="89">
        <f t="shared" si="34"/>
        <v>15000</v>
      </c>
      <c r="M1098" s="87">
        <f t="shared" si="35"/>
        <v>15000</v>
      </c>
      <c r="N1098" s="89"/>
      <c r="O1098" s="89"/>
      <c r="P1098" s="48">
        <v>41183</v>
      </c>
      <c r="Q1098" s="68">
        <v>41640</v>
      </c>
      <c r="R1098" s="49">
        <v>11982</v>
      </c>
    </row>
    <row r="1099" spans="1:38" ht="51" x14ac:dyDescent="0.2">
      <c r="A1099" s="45" t="s">
        <v>3246</v>
      </c>
      <c r="B1099" s="57">
        <v>6376</v>
      </c>
      <c r="C1099" s="60" t="s">
        <v>3240</v>
      </c>
      <c r="D1099" s="60" t="s">
        <v>3247</v>
      </c>
      <c r="E1099" s="50" t="s">
        <v>2360</v>
      </c>
      <c r="F1099" s="50" t="s">
        <v>71</v>
      </c>
      <c r="G1099" s="60" t="s">
        <v>3248</v>
      </c>
      <c r="H1099" s="99"/>
      <c r="I1099" s="100">
        <v>15000</v>
      </c>
      <c r="J1099" s="99"/>
      <c r="K1099" s="99"/>
      <c r="L1099" s="89">
        <f t="shared" si="34"/>
        <v>15000</v>
      </c>
      <c r="M1099" s="87">
        <f t="shared" si="35"/>
        <v>15000</v>
      </c>
      <c r="N1099" s="89"/>
      <c r="O1099" s="89"/>
      <c r="P1099" s="48">
        <v>41183</v>
      </c>
      <c r="Q1099" s="68">
        <v>41699</v>
      </c>
      <c r="R1099" s="49">
        <v>11932</v>
      </c>
    </row>
    <row r="1100" spans="1:38" ht="76.5" x14ac:dyDescent="0.2">
      <c r="A1100" s="45" t="s">
        <v>3249</v>
      </c>
      <c r="B1100" s="57">
        <v>25220</v>
      </c>
      <c r="C1100" s="60" t="s">
        <v>3240</v>
      </c>
      <c r="D1100" s="60" t="s">
        <v>3250</v>
      </c>
      <c r="E1100" s="50" t="s">
        <v>2360</v>
      </c>
      <c r="F1100" s="50" t="s">
        <v>71</v>
      </c>
      <c r="G1100" s="60" t="s">
        <v>3251</v>
      </c>
      <c r="H1100" s="99"/>
      <c r="I1100" s="100">
        <v>15000</v>
      </c>
      <c r="J1100" s="99"/>
      <c r="K1100" s="99"/>
      <c r="L1100" s="89">
        <f t="shared" si="34"/>
        <v>15000</v>
      </c>
      <c r="M1100" s="87">
        <f t="shared" si="35"/>
        <v>15000</v>
      </c>
      <c r="N1100" s="89"/>
      <c r="O1100" s="89"/>
      <c r="P1100" s="48">
        <v>41183</v>
      </c>
      <c r="Q1100" s="68">
        <v>41699</v>
      </c>
      <c r="R1100" s="49">
        <v>11922</v>
      </c>
    </row>
    <row r="1101" spans="1:38" ht="51" x14ac:dyDescent="0.2">
      <c r="A1101" s="45" t="s">
        <v>3252</v>
      </c>
      <c r="B1101" s="57">
        <v>25288</v>
      </c>
      <c r="C1101" s="60" t="s">
        <v>3240</v>
      </c>
      <c r="D1101" s="60" t="s">
        <v>3253</v>
      </c>
      <c r="E1101" s="50" t="s">
        <v>2360</v>
      </c>
      <c r="F1101" s="50" t="s">
        <v>71</v>
      </c>
      <c r="G1101" s="60" t="s">
        <v>3254</v>
      </c>
      <c r="H1101" s="99"/>
      <c r="I1101" s="100">
        <v>15000</v>
      </c>
      <c r="J1101" s="99"/>
      <c r="K1101" s="99"/>
      <c r="L1101" s="89">
        <f t="shared" si="34"/>
        <v>15000</v>
      </c>
      <c r="M1101" s="87">
        <f t="shared" si="35"/>
        <v>15000</v>
      </c>
      <c r="N1101" s="89"/>
      <c r="O1101" s="89"/>
      <c r="P1101" s="48">
        <v>41183</v>
      </c>
      <c r="Q1101" s="68">
        <v>40909</v>
      </c>
      <c r="R1101" s="49">
        <v>11851</v>
      </c>
    </row>
    <row r="1102" spans="1:38" ht="38.25" x14ac:dyDescent="0.2">
      <c r="A1102" s="45" t="s">
        <v>3255</v>
      </c>
      <c r="B1102" s="57">
        <v>25319</v>
      </c>
      <c r="C1102" s="60" t="s">
        <v>3240</v>
      </c>
      <c r="D1102" s="60" t="s">
        <v>3256</v>
      </c>
      <c r="E1102" s="50" t="s">
        <v>2360</v>
      </c>
      <c r="F1102" s="50" t="s">
        <v>71</v>
      </c>
      <c r="G1102" s="60" t="s">
        <v>3257</v>
      </c>
      <c r="H1102" s="99"/>
      <c r="I1102" s="100">
        <v>15000</v>
      </c>
      <c r="J1102" s="99"/>
      <c r="K1102" s="99"/>
      <c r="L1102" s="89">
        <f t="shared" si="34"/>
        <v>15000</v>
      </c>
      <c r="M1102" s="87">
        <f t="shared" si="35"/>
        <v>15000</v>
      </c>
      <c r="N1102" s="89"/>
      <c r="O1102" s="89"/>
      <c r="P1102" s="48">
        <v>41183</v>
      </c>
      <c r="Q1102" s="68">
        <v>41640</v>
      </c>
      <c r="R1102" s="49">
        <v>11969</v>
      </c>
    </row>
    <row r="1103" spans="1:38" ht="51" x14ac:dyDescent="0.2">
      <c r="A1103" s="45" t="s">
        <v>3258</v>
      </c>
      <c r="B1103" s="57">
        <v>25224</v>
      </c>
      <c r="C1103" s="60" t="s">
        <v>3240</v>
      </c>
      <c r="D1103" s="60" t="s">
        <v>3259</v>
      </c>
      <c r="E1103" s="50" t="s">
        <v>2360</v>
      </c>
      <c r="F1103" s="50" t="s">
        <v>45</v>
      </c>
      <c r="G1103" s="60" t="s">
        <v>3260</v>
      </c>
      <c r="H1103" s="99"/>
      <c r="I1103" s="100">
        <v>15000</v>
      </c>
      <c r="J1103" s="99"/>
      <c r="K1103" s="99"/>
      <c r="L1103" s="89">
        <f t="shared" si="34"/>
        <v>15000</v>
      </c>
      <c r="M1103" s="87">
        <f t="shared" si="35"/>
        <v>15000</v>
      </c>
      <c r="N1103" s="89"/>
      <c r="O1103" s="89"/>
      <c r="P1103" s="48">
        <v>41183</v>
      </c>
      <c r="Q1103" s="68">
        <v>41640</v>
      </c>
      <c r="R1103" s="49">
        <v>11874</v>
      </c>
    </row>
    <row r="1104" spans="1:38" s="44" customFormat="1" ht="25.5" x14ac:dyDescent="0.2">
      <c r="A1104" s="46" t="s">
        <v>3261</v>
      </c>
      <c r="B1104" s="52">
        <v>32869</v>
      </c>
      <c r="C1104" s="80" t="s">
        <v>3262</v>
      </c>
      <c r="D1104" s="80" t="s">
        <v>320</v>
      </c>
      <c r="E1104" s="80" t="s">
        <v>308</v>
      </c>
      <c r="F1104" s="80" t="s">
        <v>94</v>
      </c>
      <c r="G1104" s="80" t="s">
        <v>3263</v>
      </c>
      <c r="H1104" s="88">
        <v>18213</v>
      </c>
      <c r="I1104" s="88"/>
      <c r="J1104" s="89"/>
      <c r="K1104" s="89"/>
      <c r="L1104" s="89">
        <f t="shared" si="34"/>
        <v>18213</v>
      </c>
      <c r="M1104" s="87">
        <f t="shared" si="35"/>
        <v>18213</v>
      </c>
      <c r="N1104" s="89"/>
      <c r="O1104" s="89"/>
      <c r="P1104" s="51" t="s">
        <v>3191</v>
      </c>
      <c r="Q1104" s="68" t="s">
        <v>3191</v>
      </c>
      <c r="R1104" s="53"/>
      <c r="S1104" s="43"/>
      <c r="T1104" s="43"/>
      <c r="U1104" s="43"/>
      <c r="V1104" s="43"/>
      <c r="W1104" s="43"/>
      <c r="X1104" s="43"/>
      <c r="Y1104" s="43"/>
      <c r="Z1104" s="43"/>
      <c r="AA1104" s="43"/>
      <c r="AB1104" s="43"/>
      <c r="AC1104" s="43"/>
      <c r="AD1104" s="43"/>
      <c r="AE1104" s="43"/>
      <c r="AF1104" s="43"/>
      <c r="AG1104" s="43"/>
      <c r="AH1104" s="43"/>
      <c r="AI1104" s="43"/>
      <c r="AJ1104" s="43"/>
      <c r="AK1104" s="43"/>
      <c r="AL1104" s="43"/>
    </row>
    <row r="1105" spans="1:18" s="1" customFormat="1" ht="38.25" x14ac:dyDescent="0.2">
      <c r="A1105" s="45" t="s">
        <v>3264</v>
      </c>
      <c r="B1105" s="45">
        <v>26040</v>
      </c>
      <c r="C1105" s="50" t="s">
        <v>238</v>
      </c>
      <c r="D1105" s="50" t="s">
        <v>3265</v>
      </c>
      <c r="E1105" s="80" t="s">
        <v>21</v>
      </c>
      <c r="F1105" s="50" t="s">
        <v>94</v>
      </c>
      <c r="G1105" s="50" t="s">
        <v>3183</v>
      </c>
      <c r="H1105" s="88">
        <v>1280</v>
      </c>
      <c r="I1105" s="88"/>
      <c r="J1105" s="88"/>
      <c r="K1105" s="88"/>
      <c r="L1105" s="89">
        <f t="shared" si="34"/>
        <v>1280</v>
      </c>
      <c r="M1105" s="87">
        <f t="shared" si="35"/>
        <v>1280</v>
      </c>
      <c r="N1105" s="89"/>
      <c r="O1105" s="89"/>
      <c r="P1105" s="48">
        <v>41197</v>
      </c>
      <c r="Q1105" s="68">
        <v>41320</v>
      </c>
      <c r="R1105" s="49">
        <v>11683</v>
      </c>
    </row>
    <row r="1106" spans="1:18" s="1" customFormat="1" ht="51" x14ac:dyDescent="0.2">
      <c r="A1106" s="45" t="s">
        <v>3266</v>
      </c>
      <c r="B1106" s="45">
        <v>9929</v>
      </c>
      <c r="C1106" s="50" t="s">
        <v>243</v>
      </c>
      <c r="D1106" s="50" t="s">
        <v>3267</v>
      </c>
      <c r="E1106" s="80" t="s">
        <v>21</v>
      </c>
      <c r="F1106" s="50" t="s">
        <v>398</v>
      </c>
      <c r="G1106" s="50" t="s">
        <v>3268</v>
      </c>
      <c r="H1106" s="88">
        <v>6000</v>
      </c>
      <c r="I1106" s="88"/>
      <c r="J1106" s="88"/>
      <c r="K1106" s="88"/>
      <c r="L1106" s="89">
        <f t="shared" si="34"/>
        <v>6000</v>
      </c>
      <c r="M1106" s="87">
        <f t="shared" si="35"/>
        <v>6000</v>
      </c>
      <c r="N1106" s="89"/>
      <c r="O1106" s="89"/>
      <c r="P1106" s="48">
        <v>41190</v>
      </c>
      <c r="Q1106" s="68">
        <v>41313</v>
      </c>
      <c r="R1106" s="49">
        <v>11699</v>
      </c>
    </row>
    <row r="1107" spans="1:18" s="1" customFormat="1" ht="38.25" x14ac:dyDescent="0.2">
      <c r="A1107" s="45" t="s">
        <v>3269</v>
      </c>
      <c r="B1107" s="45">
        <v>11999</v>
      </c>
      <c r="C1107" s="50" t="s">
        <v>66</v>
      </c>
      <c r="D1107" s="50" t="s">
        <v>3270</v>
      </c>
      <c r="E1107" s="80" t="s">
        <v>21</v>
      </c>
      <c r="F1107" s="50" t="s">
        <v>109</v>
      </c>
      <c r="G1107" s="50" t="s">
        <v>3271</v>
      </c>
      <c r="H1107" s="88">
        <v>2320</v>
      </c>
      <c r="I1107" s="88"/>
      <c r="J1107" s="88"/>
      <c r="K1107" s="88"/>
      <c r="L1107" s="89">
        <f t="shared" si="34"/>
        <v>2320</v>
      </c>
      <c r="M1107" s="87">
        <f t="shared" si="35"/>
        <v>2320</v>
      </c>
      <c r="N1107" s="89"/>
      <c r="O1107" s="89"/>
      <c r="P1107" s="48">
        <v>41187</v>
      </c>
      <c r="Q1107" s="68">
        <v>41310</v>
      </c>
      <c r="R1107" s="49">
        <v>11986</v>
      </c>
    </row>
    <row r="1108" spans="1:18" s="1" customFormat="1" ht="38.25" x14ac:dyDescent="0.2">
      <c r="A1108" s="45" t="s">
        <v>3272</v>
      </c>
      <c r="B1108" s="45">
        <v>26165</v>
      </c>
      <c r="C1108" s="50" t="s">
        <v>43</v>
      </c>
      <c r="D1108" s="50" t="s">
        <v>3273</v>
      </c>
      <c r="E1108" s="80" t="s">
        <v>21</v>
      </c>
      <c r="F1108" s="50" t="s">
        <v>87</v>
      </c>
      <c r="G1108" s="50" t="s">
        <v>3274</v>
      </c>
      <c r="H1108" s="88">
        <v>1620</v>
      </c>
      <c r="I1108" s="88"/>
      <c r="J1108" s="88"/>
      <c r="K1108" s="88"/>
      <c r="L1108" s="89">
        <f t="shared" si="34"/>
        <v>1620</v>
      </c>
      <c r="M1108" s="87">
        <f t="shared" si="35"/>
        <v>1620</v>
      </c>
      <c r="N1108" s="89"/>
      <c r="O1108" s="89"/>
      <c r="P1108" s="48">
        <v>41197</v>
      </c>
      <c r="Q1108" s="68">
        <v>41455</v>
      </c>
      <c r="R1108" s="49">
        <v>11818</v>
      </c>
    </row>
    <row r="1109" spans="1:18" s="1" customFormat="1" ht="51" x14ac:dyDescent="0.2">
      <c r="A1109" s="45" t="s">
        <v>3275</v>
      </c>
      <c r="B1109" s="45">
        <v>33215</v>
      </c>
      <c r="C1109" s="50" t="s">
        <v>414</v>
      </c>
      <c r="D1109" s="50" t="s">
        <v>3276</v>
      </c>
      <c r="E1109" s="80" t="s">
        <v>3277</v>
      </c>
      <c r="F1109" s="50" t="s">
        <v>3278</v>
      </c>
      <c r="G1109" s="50" t="s">
        <v>3279</v>
      </c>
      <c r="H1109" s="88"/>
      <c r="I1109" s="88"/>
      <c r="J1109" s="89"/>
      <c r="K1109" s="89">
        <v>33124</v>
      </c>
      <c r="L1109" s="89">
        <f t="shared" si="34"/>
        <v>33124</v>
      </c>
      <c r="M1109" s="87">
        <f t="shared" si="35"/>
        <v>33124</v>
      </c>
      <c r="N1109" s="89"/>
      <c r="O1109" s="89"/>
      <c r="P1109" s="48">
        <v>41218</v>
      </c>
      <c r="Q1109" s="68">
        <v>41948</v>
      </c>
      <c r="R1109" s="49">
        <v>11842</v>
      </c>
    </row>
    <row r="1110" spans="1:18" s="1" customFormat="1" ht="51" x14ac:dyDescent="0.2">
      <c r="A1110" s="45" t="s">
        <v>3280</v>
      </c>
      <c r="B1110" s="45">
        <v>33404</v>
      </c>
      <c r="C1110" s="50" t="s">
        <v>534</v>
      </c>
      <c r="D1110" s="50" t="s">
        <v>3281</v>
      </c>
      <c r="E1110" s="80" t="s">
        <v>3277</v>
      </c>
      <c r="F1110" s="50" t="s">
        <v>45</v>
      </c>
      <c r="G1110" s="50" t="s">
        <v>3282</v>
      </c>
      <c r="H1110" s="88"/>
      <c r="I1110" s="88"/>
      <c r="J1110" s="89"/>
      <c r="K1110" s="89">
        <v>41000</v>
      </c>
      <c r="L1110" s="89">
        <f t="shared" si="34"/>
        <v>41000</v>
      </c>
      <c r="M1110" s="87">
        <f t="shared" si="35"/>
        <v>41000</v>
      </c>
      <c r="N1110" s="89"/>
      <c r="O1110" s="89"/>
      <c r="P1110" s="48">
        <v>41199</v>
      </c>
      <c r="Q1110" s="68">
        <v>41929</v>
      </c>
      <c r="R1110" s="49">
        <v>11871</v>
      </c>
    </row>
    <row r="1111" spans="1:18" s="1" customFormat="1" ht="51" x14ac:dyDescent="0.2">
      <c r="A1111" s="45" t="s">
        <v>3283</v>
      </c>
      <c r="B1111" s="45">
        <v>33252</v>
      </c>
      <c r="C1111" s="50" t="s">
        <v>2280</v>
      </c>
      <c r="D1111" s="50" t="s">
        <v>3284</v>
      </c>
      <c r="E1111" s="80" t="s">
        <v>3277</v>
      </c>
      <c r="F1111" s="50" t="s">
        <v>45</v>
      </c>
      <c r="G1111" s="50" t="s">
        <v>3285</v>
      </c>
      <c r="H1111" s="88"/>
      <c r="I1111" s="88"/>
      <c r="J1111" s="89"/>
      <c r="K1111" s="89">
        <v>41000</v>
      </c>
      <c r="L1111" s="89">
        <f t="shared" si="34"/>
        <v>41000</v>
      </c>
      <c r="M1111" s="87">
        <f t="shared" si="35"/>
        <v>41000</v>
      </c>
      <c r="N1111" s="89"/>
      <c r="O1111" s="89"/>
      <c r="P1111" s="48">
        <v>41218</v>
      </c>
      <c r="Q1111" s="68">
        <v>41948</v>
      </c>
      <c r="R1111" s="49">
        <v>11830</v>
      </c>
    </row>
    <row r="1112" spans="1:18" s="1" customFormat="1" ht="51" x14ac:dyDescent="0.2">
      <c r="A1112" s="45" t="s">
        <v>3286</v>
      </c>
      <c r="B1112" s="45">
        <v>33235</v>
      </c>
      <c r="C1112" s="50" t="s">
        <v>574</v>
      </c>
      <c r="D1112" s="50" t="s">
        <v>3287</v>
      </c>
      <c r="E1112" s="80" t="s">
        <v>3277</v>
      </c>
      <c r="F1112" s="50" t="s">
        <v>45</v>
      </c>
      <c r="G1112" s="50" t="s">
        <v>3288</v>
      </c>
      <c r="H1112" s="88"/>
      <c r="I1112" s="88"/>
      <c r="J1112" s="89"/>
      <c r="K1112" s="89">
        <v>41000</v>
      </c>
      <c r="L1112" s="89">
        <f t="shared" si="34"/>
        <v>41000</v>
      </c>
      <c r="M1112" s="87">
        <f t="shared" si="35"/>
        <v>41000</v>
      </c>
      <c r="N1112" s="89"/>
      <c r="O1112" s="89"/>
      <c r="P1112" s="48">
        <v>41201</v>
      </c>
      <c r="Q1112" s="68">
        <v>43027</v>
      </c>
      <c r="R1112" s="49">
        <v>11973</v>
      </c>
    </row>
    <row r="1113" spans="1:18" s="1" customFormat="1" ht="51" x14ac:dyDescent="0.2">
      <c r="A1113" s="45" t="s">
        <v>3289</v>
      </c>
      <c r="B1113" s="45">
        <v>33200</v>
      </c>
      <c r="C1113" s="50" t="s">
        <v>1991</v>
      </c>
      <c r="D1113" s="50" t="s">
        <v>3290</v>
      </c>
      <c r="E1113" s="80" t="s">
        <v>3277</v>
      </c>
      <c r="F1113" s="50" t="s">
        <v>94</v>
      </c>
      <c r="G1113" s="50" t="s">
        <v>3291</v>
      </c>
      <c r="H1113" s="88"/>
      <c r="I1113" s="88"/>
      <c r="J1113" s="89"/>
      <c r="K1113" s="89">
        <v>39905</v>
      </c>
      <c r="L1113" s="89">
        <f t="shared" si="34"/>
        <v>39905</v>
      </c>
      <c r="M1113" s="87">
        <f t="shared" si="35"/>
        <v>39905</v>
      </c>
      <c r="N1113" s="89"/>
      <c r="O1113" s="89"/>
      <c r="P1113" s="48">
        <v>41212</v>
      </c>
      <c r="Q1113" s="68">
        <v>41942</v>
      </c>
      <c r="R1113" s="49">
        <v>11988</v>
      </c>
    </row>
    <row r="1114" spans="1:18" s="1" customFormat="1" ht="51" x14ac:dyDescent="0.2">
      <c r="A1114" s="45" t="s">
        <v>3292</v>
      </c>
      <c r="B1114" s="45">
        <v>33264</v>
      </c>
      <c r="C1114" s="50" t="s">
        <v>1404</v>
      </c>
      <c r="D1114" s="50" t="s">
        <v>3293</v>
      </c>
      <c r="E1114" s="80" t="s">
        <v>3277</v>
      </c>
      <c r="F1114" s="50" t="s">
        <v>398</v>
      </c>
      <c r="G1114" s="50" t="s">
        <v>3294</v>
      </c>
      <c r="H1114" s="88"/>
      <c r="I1114" s="88"/>
      <c r="J1114" s="89"/>
      <c r="K1114" s="89">
        <v>39000</v>
      </c>
      <c r="L1114" s="89">
        <f t="shared" si="34"/>
        <v>39000</v>
      </c>
      <c r="M1114" s="87">
        <f t="shared" si="35"/>
        <v>39000</v>
      </c>
      <c r="N1114" s="89"/>
      <c r="O1114" s="89"/>
      <c r="P1114" s="48">
        <v>41253</v>
      </c>
      <c r="Q1114" s="68">
        <v>42257</v>
      </c>
      <c r="R1114" s="49">
        <v>12312</v>
      </c>
    </row>
    <row r="1115" spans="1:18" s="1" customFormat="1" ht="51" x14ac:dyDescent="0.2">
      <c r="A1115" s="45" t="s">
        <v>3295</v>
      </c>
      <c r="B1115" s="45">
        <v>33282</v>
      </c>
      <c r="C1115" s="50" t="s">
        <v>1599</v>
      </c>
      <c r="D1115" s="50" t="s">
        <v>2259</v>
      </c>
      <c r="E1115" s="80" t="s">
        <v>3277</v>
      </c>
      <c r="F1115" s="50" t="s">
        <v>109</v>
      </c>
      <c r="G1115" s="50" t="s">
        <v>3296</v>
      </c>
      <c r="H1115" s="88"/>
      <c r="I1115" s="88"/>
      <c r="J1115" s="89"/>
      <c r="K1115" s="89">
        <v>41000</v>
      </c>
      <c r="L1115" s="89">
        <f t="shared" si="34"/>
        <v>41000</v>
      </c>
      <c r="M1115" s="87">
        <f t="shared" si="35"/>
        <v>41000</v>
      </c>
      <c r="N1115" s="89"/>
      <c r="O1115" s="89"/>
      <c r="P1115" s="48">
        <v>41199</v>
      </c>
      <c r="Q1115" s="68">
        <v>43025</v>
      </c>
      <c r="R1115" s="49">
        <v>11912</v>
      </c>
    </row>
    <row r="1116" spans="1:18" s="1" customFormat="1" ht="51" x14ac:dyDescent="0.2">
      <c r="A1116" s="45" t="s">
        <v>3297</v>
      </c>
      <c r="B1116" s="45">
        <v>33203</v>
      </c>
      <c r="C1116" s="50" t="s">
        <v>3298</v>
      </c>
      <c r="D1116" s="50" t="s">
        <v>3299</v>
      </c>
      <c r="E1116" s="80" t="s">
        <v>3277</v>
      </c>
      <c r="F1116" s="50" t="s">
        <v>94</v>
      </c>
      <c r="G1116" s="50" t="s">
        <v>3300</v>
      </c>
      <c r="H1116" s="88"/>
      <c r="I1116" s="88"/>
      <c r="J1116" s="89"/>
      <c r="K1116" s="89">
        <v>40850</v>
      </c>
      <c r="L1116" s="89">
        <f t="shared" si="34"/>
        <v>40850</v>
      </c>
      <c r="M1116" s="87">
        <f t="shared" si="35"/>
        <v>40850</v>
      </c>
      <c r="N1116" s="89"/>
      <c r="O1116" s="89"/>
      <c r="P1116" s="48">
        <v>41218</v>
      </c>
      <c r="Q1116" s="68">
        <v>41948</v>
      </c>
      <c r="R1116" s="49">
        <v>11828</v>
      </c>
    </row>
    <row r="1117" spans="1:18" s="1" customFormat="1" ht="51" x14ac:dyDescent="0.2">
      <c r="A1117" s="45" t="s">
        <v>3301</v>
      </c>
      <c r="B1117" s="45">
        <v>33285</v>
      </c>
      <c r="C1117" s="50" t="s">
        <v>3298</v>
      </c>
      <c r="D1117" s="50" t="s">
        <v>3302</v>
      </c>
      <c r="E1117" s="80" t="s">
        <v>3277</v>
      </c>
      <c r="F1117" s="50" t="s">
        <v>94</v>
      </c>
      <c r="G1117" s="50" t="s">
        <v>3303</v>
      </c>
      <c r="H1117" s="88"/>
      <c r="I1117" s="88"/>
      <c r="J1117" s="89"/>
      <c r="K1117" s="89">
        <v>40750</v>
      </c>
      <c r="L1117" s="89">
        <f t="shared" si="34"/>
        <v>40750</v>
      </c>
      <c r="M1117" s="87">
        <f t="shared" si="35"/>
        <v>40750</v>
      </c>
      <c r="N1117" s="89"/>
      <c r="O1117" s="89"/>
      <c r="P1117" s="48">
        <v>41218</v>
      </c>
      <c r="Q1117" s="68">
        <v>41948</v>
      </c>
      <c r="R1117" s="49">
        <v>11852</v>
      </c>
    </row>
    <row r="1118" spans="1:18" s="1" customFormat="1" ht="51" x14ac:dyDescent="0.2">
      <c r="A1118" s="45" t="s">
        <v>3304</v>
      </c>
      <c r="B1118" s="45">
        <v>32648</v>
      </c>
      <c r="C1118" s="50" t="s">
        <v>3298</v>
      </c>
      <c r="D1118" s="50" t="s">
        <v>3305</v>
      </c>
      <c r="E1118" s="80" t="s">
        <v>3277</v>
      </c>
      <c r="F1118" s="50" t="s">
        <v>94</v>
      </c>
      <c r="G1118" s="50" t="s">
        <v>3306</v>
      </c>
      <c r="H1118" s="88"/>
      <c r="I1118" s="88"/>
      <c r="J1118" s="89"/>
      <c r="K1118" s="89">
        <v>40700</v>
      </c>
      <c r="L1118" s="89">
        <f t="shared" si="34"/>
        <v>40700</v>
      </c>
      <c r="M1118" s="87">
        <f t="shared" si="35"/>
        <v>40700</v>
      </c>
      <c r="N1118" s="89"/>
      <c r="O1118" s="89"/>
      <c r="P1118" s="48">
        <v>41218</v>
      </c>
      <c r="Q1118" s="68">
        <v>41948</v>
      </c>
      <c r="R1118" s="49">
        <v>11840</v>
      </c>
    </row>
    <row r="1119" spans="1:18" s="1" customFormat="1" ht="51" x14ac:dyDescent="0.2">
      <c r="A1119" s="45" t="s">
        <v>3307</v>
      </c>
      <c r="B1119" s="45">
        <v>33409</v>
      </c>
      <c r="C1119" s="50" t="s">
        <v>3308</v>
      </c>
      <c r="D1119" s="50" t="s">
        <v>3309</v>
      </c>
      <c r="E1119" s="80" t="s">
        <v>3277</v>
      </c>
      <c r="F1119" s="81" t="s">
        <v>87</v>
      </c>
      <c r="G1119" s="50" t="s">
        <v>3310</v>
      </c>
      <c r="H1119" s="88"/>
      <c r="I1119" s="88"/>
      <c r="J1119" s="89"/>
      <c r="K1119" s="89">
        <v>23000</v>
      </c>
      <c r="L1119" s="89">
        <f t="shared" si="34"/>
        <v>23000</v>
      </c>
      <c r="M1119" s="87">
        <f t="shared" si="35"/>
        <v>23000</v>
      </c>
      <c r="N1119" s="89"/>
      <c r="O1119" s="89"/>
      <c r="P1119" s="48">
        <v>41214</v>
      </c>
      <c r="Q1119" s="68">
        <v>41944</v>
      </c>
      <c r="R1119" s="49">
        <v>12396</v>
      </c>
    </row>
    <row r="1120" spans="1:18" s="1" customFormat="1" ht="51" x14ac:dyDescent="0.2">
      <c r="A1120" s="45" t="s">
        <v>3311</v>
      </c>
      <c r="B1120" s="45">
        <v>33214</v>
      </c>
      <c r="C1120" s="50" t="s">
        <v>3312</v>
      </c>
      <c r="D1120" s="50" t="s">
        <v>3313</v>
      </c>
      <c r="E1120" s="80" t="s">
        <v>3277</v>
      </c>
      <c r="F1120" s="81" t="s">
        <v>87</v>
      </c>
      <c r="G1120" s="50" t="s">
        <v>3314</v>
      </c>
      <c r="H1120" s="88"/>
      <c r="I1120" s="88"/>
      <c r="J1120" s="89"/>
      <c r="K1120" s="89">
        <v>39766.19</v>
      </c>
      <c r="L1120" s="89">
        <f t="shared" si="34"/>
        <v>39766.19</v>
      </c>
      <c r="M1120" s="87">
        <f t="shared" si="35"/>
        <v>39766.19</v>
      </c>
      <c r="N1120" s="89"/>
      <c r="O1120" s="89"/>
      <c r="P1120" s="48">
        <v>41214</v>
      </c>
      <c r="Q1120" s="68">
        <v>41944</v>
      </c>
      <c r="R1120" s="49">
        <v>11843</v>
      </c>
    </row>
    <row r="1121" spans="1:18" s="1" customFormat="1" ht="51" x14ac:dyDescent="0.2">
      <c r="A1121" s="45" t="s">
        <v>3315</v>
      </c>
      <c r="B1121" s="45">
        <v>33395</v>
      </c>
      <c r="C1121" s="50" t="s">
        <v>3298</v>
      </c>
      <c r="D1121" s="50" t="s">
        <v>3316</v>
      </c>
      <c r="E1121" s="80" t="s">
        <v>3277</v>
      </c>
      <c r="F1121" s="81" t="s">
        <v>167</v>
      </c>
      <c r="G1121" s="50" t="s">
        <v>3317</v>
      </c>
      <c r="H1121" s="88"/>
      <c r="I1121" s="88"/>
      <c r="J1121" s="89"/>
      <c r="K1121" s="89">
        <v>41000</v>
      </c>
      <c r="L1121" s="89">
        <f t="shared" si="34"/>
        <v>41000</v>
      </c>
      <c r="M1121" s="87">
        <f t="shared" si="35"/>
        <v>41000</v>
      </c>
      <c r="N1121" s="89"/>
      <c r="O1121" s="89"/>
      <c r="P1121" s="48">
        <v>41218</v>
      </c>
      <c r="Q1121" s="68">
        <v>42221</v>
      </c>
      <c r="R1121" s="49">
        <v>11843</v>
      </c>
    </row>
    <row r="1122" spans="1:18" s="1" customFormat="1" ht="51" x14ac:dyDescent="0.2">
      <c r="A1122" s="45" t="s">
        <v>3318</v>
      </c>
      <c r="B1122" s="64">
        <v>33375</v>
      </c>
      <c r="C1122" s="50" t="s">
        <v>3298</v>
      </c>
      <c r="D1122" s="50" t="s">
        <v>3319</v>
      </c>
      <c r="E1122" s="80" t="s">
        <v>3277</v>
      </c>
      <c r="F1122" s="50" t="s">
        <v>94</v>
      </c>
      <c r="G1122" s="50" t="s">
        <v>3320</v>
      </c>
      <c r="H1122" s="88"/>
      <c r="I1122" s="88"/>
      <c r="J1122" s="89"/>
      <c r="K1122" s="89">
        <v>25835.17</v>
      </c>
      <c r="L1122" s="89">
        <f t="shared" si="34"/>
        <v>25835.17</v>
      </c>
      <c r="M1122" s="87">
        <f t="shared" si="35"/>
        <v>25835.17</v>
      </c>
      <c r="N1122" s="89"/>
      <c r="O1122" s="89"/>
      <c r="P1122" s="48">
        <v>41218</v>
      </c>
      <c r="Q1122" s="68">
        <v>42104</v>
      </c>
      <c r="R1122" s="49">
        <v>11832</v>
      </c>
    </row>
    <row r="1123" spans="1:18" s="1" customFormat="1" ht="51" x14ac:dyDescent="0.2">
      <c r="A1123" s="45" t="s">
        <v>3321</v>
      </c>
      <c r="B1123" s="45">
        <v>33269</v>
      </c>
      <c r="C1123" s="50" t="s">
        <v>3298</v>
      </c>
      <c r="D1123" s="50" t="s">
        <v>3322</v>
      </c>
      <c r="E1123" s="80" t="s">
        <v>3277</v>
      </c>
      <c r="F1123" s="50" t="s">
        <v>94</v>
      </c>
      <c r="G1123" s="50" t="s">
        <v>3323</v>
      </c>
      <c r="H1123" s="88"/>
      <c r="I1123" s="88"/>
      <c r="J1123" s="89"/>
      <c r="K1123" s="89">
        <v>35098.639999999999</v>
      </c>
      <c r="L1123" s="89">
        <f t="shared" si="34"/>
        <v>35098.639999999999</v>
      </c>
      <c r="M1123" s="87">
        <f t="shared" si="35"/>
        <v>35098.639999999999</v>
      </c>
      <c r="N1123" s="89"/>
      <c r="O1123" s="89"/>
      <c r="P1123" s="48">
        <v>41218</v>
      </c>
      <c r="Q1123" s="68">
        <v>41948</v>
      </c>
      <c r="R1123" s="49">
        <v>11827</v>
      </c>
    </row>
    <row r="1124" spans="1:18" s="1" customFormat="1" ht="51" x14ac:dyDescent="0.2">
      <c r="A1124" s="45" t="s">
        <v>3324</v>
      </c>
      <c r="B1124" s="45">
        <v>34584</v>
      </c>
      <c r="C1124" s="50" t="s">
        <v>19</v>
      </c>
      <c r="D1124" s="50" t="s">
        <v>842</v>
      </c>
      <c r="E1124" s="80" t="s">
        <v>2331</v>
      </c>
      <c r="F1124" s="50" t="s">
        <v>22</v>
      </c>
      <c r="G1124" s="50" t="s">
        <v>3325</v>
      </c>
      <c r="H1124" s="88">
        <v>14664</v>
      </c>
      <c r="I1124" s="88"/>
      <c r="J1124" s="89"/>
      <c r="K1124" s="89"/>
      <c r="L1124" s="89">
        <f t="shared" si="34"/>
        <v>14664</v>
      </c>
      <c r="M1124" s="87">
        <f t="shared" si="35"/>
        <v>14664</v>
      </c>
      <c r="N1124" s="89"/>
      <c r="O1124" s="89"/>
      <c r="P1124" s="48">
        <v>41199</v>
      </c>
      <c r="Q1124" s="68">
        <v>41322</v>
      </c>
      <c r="R1124" s="49">
        <v>12319</v>
      </c>
    </row>
    <row r="1125" spans="1:18" s="1" customFormat="1" ht="25.5" x14ac:dyDescent="0.2">
      <c r="A1125" s="45" t="s">
        <v>3326</v>
      </c>
      <c r="B1125" s="45">
        <v>34457</v>
      </c>
      <c r="C1125" s="50" t="s">
        <v>66</v>
      </c>
      <c r="D1125" s="50" t="s">
        <v>1592</v>
      </c>
      <c r="E1125" s="80" t="s">
        <v>2331</v>
      </c>
      <c r="F1125" s="50" t="s">
        <v>109</v>
      </c>
      <c r="G1125" s="50" t="s">
        <v>3327</v>
      </c>
      <c r="H1125" s="88">
        <v>9576</v>
      </c>
      <c r="I1125" s="88"/>
      <c r="J1125" s="89"/>
      <c r="K1125" s="89"/>
      <c r="L1125" s="89">
        <f t="shared" si="34"/>
        <v>9576</v>
      </c>
      <c r="M1125" s="87">
        <f t="shared" si="35"/>
        <v>9576</v>
      </c>
      <c r="N1125" s="89"/>
      <c r="O1125" s="89"/>
      <c r="P1125" s="48">
        <v>41206</v>
      </c>
      <c r="Q1125" s="68">
        <v>41329</v>
      </c>
      <c r="R1125" s="49">
        <v>11985</v>
      </c>
    </row>
    <row r="1126" spans="1:18" s="1" customFormat="1" ht="25.5" x14ac:dyDescent="0.2">
      <c r="A1126" s="45" t="s">
        <v>3328</v>
      </c>
      <c r="B1126" s="45">
        <v>34542</v>
      </c>
      <c r="C1126" s="50" t="s">
        <v>574</v>
      </c>
      <c r="D1126" s="50" t="s">
        <v>3329</v>
      </c>
      <c r="E1126" s="80" t="s">
        <v>2331</v>
      </c>
      <c r="F1126" s="50" t="s">
        <v>45</v>
      </c>
      <c r="G1126" s="50" t="s">
        <v>3330</v>
      </c>
      <c r="H1126" s="88">
        <v>68600</v>
      </c>
      <c r="I1126" s="88"/>
      <c r="J1126" s="89"/>
      <c r="K1126" s="89"/>
      <c r="L1126" s="89">
        <f t="shared" si="34"/>
        <v>68600</v>
      </c>
      <c r="M1126" s="87">
        <f t="shared" si="35"/>
        <v>68600</v>
      </c>
      <c r="N1126" s="89"/>
      <c r="O1126" s="89"/>
      <c r="P1126" s="48">
        <v>41201</v>
      </c>
      <c r="Q1126" s="68">
        <v>41520</v>
      </c>
      <c r="R1126" s="49">
        <v>11872</v>
      </c>
    </row>
    <row r="1127" spans="1:18" s="1" customFormat="1" ht="38.25" x14ac:dyDescent="0.2">
      <c r="A1127" s="45" t="s">
        <v>3331</v>
      </c>
      <c r="B1127" s="45">
        <v>34318</v>
      </c>
      <c r="C1127" s="50" t="s">
        <v>2690</v>
      </c>
      <c r="D1127" s="50" t="s">
        <v>128</v>
      </c>
      <c r="E1127" s="80" t="s">
        <v>3332</v>
      </c>
      <c r="F1127" s="50" t="s">
        <v>167</v>
      </c>
      <c r="G1127" s="50" t="s">
        <v>3333</v>
      </c>
      <c r="H1127" s="88">
        <f>20000</f>
        <v>20000</v>
      </c>
      <c r="I1127" s="88"/>
      <c r="J1127" s="89"/>
      <c r="K1127" s="89">
        <v>170200</v>
      </c>
      <c r="L1127" s="89">
        <f t="shared" si="34"/>
        <v>190200</v>
      </c>
      <c r="M1127" s="87">
        <f t="shared" si="35"/>
        <v>190200</v>
      </c>
      <c r="N1127" s="89"/>
      <c r="O1127" s="89"/>
      <c r="P1127" s="48">
        <v>41218</v>
      </c>
      <c r="Q1127" s="68">
        <v>41583</v>
      </c>
      <c r="R1127" s="62">
        <v>11821</v>
      </c>
    </row>
    <row r="1128" spans="1:18" s="1" customFormat="1" ht="38.25" x14ac:dyDescent="0.2">
      <c r="A1128" s="45" t="s">
        <v>3334</v>
      </c>
      <c r="B1128" s="45">
        <v>34305</v>
      </c>
      <c r="C1128" s="50" t="s">
        <v>43</v>
      </c>
      <c r="D1128" s="50" t="s">
        <v>3335</v>
      </c>
      <c r="E1128" s="80" t="s">
        <v>3332</v>
      </c>
      <c r="F1128" s="81" t="s">
        <v>63</v>
      </c>
      <c r="G1128" s="50" t="s">
        <v>3336</v>
      </c>
      <c r="H1128" s="88">
        <v>200000</v>
      </c>
      <c r="I1128" s="88"/>
      <c r="J1128" s="89"/>
      <c r="K1128" s="89"/>
      <c r="L1128" s="89">
        <f t="shared" si="34"/>
        <v>200000</v>
      </c>
      <c r="M1128" s="87">
        <f t="shared" si="35"/>
        <v>200000</v>
      </c>
      <c r="N1128" s="89"/>
      <c r="O1128" s="89"/>
      <c r="P1128" s="48">
        <v>41239</v>
      </c>
      <c r="Q1128" s="68">
        <v>43065</v>
      </c>
      <c r="R1128" s="49">
        <v>12030</v>
      </c>
    </row>
    <row r="1129" spans="1:18" s="1" customFormat="1" ht="51" x14ac:dyDescent="0.2">
      <c r="A1129" s="45" t="s">
        <v>3337</v>
      </c>
      <c r="B1129" s="45">
        <v>33925</v>
      </c>
      <c r="C1129" s="50" t="s">
        <v>66</v>
      </c>
      <c r="D1129" s="50" t="s">
        <v>136</v>
      </c>
      <c r="E1129" s="80" t="s">
        <v>3332</v>
      </c>
      <c r="F1129" s="50" t="s">
        <v>87</v>
      </c>
      <c r="G1129" s="50" t="s">
        <v>3338</v>
      </c>
      <c r="H1129" s="88">
        <f>116889.39</f>
        <v>116889.39</v>
      </c>
      <c r="I1129" s="88"/>
      <c r="J1129" s="89"/>
      <c r="K1129" s="89">
        <v>82982</v>
      </c>
      <c r="L1129" s="89">
        <f t="shared" si="34"/>
        <v>199871.39</v>
      </c>
      <c r="M1129" s="87">
        <f t="shared" si="35"/>
        <v>199871.39</v>
      </c>
      <c r="N1129" s="89"/>
      <c r="O1129" s="89"/>
      <c r="P1129" s="48">
        <v>41219</v>
      </c>
      <c r="Q1129" s="68">
        <v>42405</v>
      </c>
      <c r="R1129" s="49">
        <v>11940</v>
      </c>
    </row>
    <row r="1130" spans="1:18" s="1" customFormat="1" ht="51" x14ac:dyDescent="0.2">
      <c r="A1130" s="45" t="s">
        <v>3339</v>
      </c>
      <c r="B1130" s="45">
        <v>33828</v>
      </c>
      <c r="C1130" s="50" t="s">
        <v>432</v>
      </c>
      <c r="D1130" s="50" t="s">
        <v>1576</v>
      </c>
      <c r="E1130" s="80" t="s">
        <v>3332</v>
      </c>
      <c r="F1130" s="50" t="s">
        <v>87</v>
      </c>
      <c r="G1130" s="50" t="s">
        <v>3340</v>
      </c>
      <c r="H1130" s="88">
        <f>7605.94</f>
        <v>7605.94</v>
      </c>
      <c r="I1130" s="88"/>
      <c r="J1130" s="89"/>
      <c r="K1130" s="89">
        <v>192394.06</v>
      </c>
      <c r="L1130" s="89">
        <f t="shared" si="34"/>
        <v>200000</v>
      </c>
      <c r="M1130" s="87">
        <f t="shared" si="35"/>
        <v>200000</v>
      </c>
      <c r="N1130" s="89"/>
      <c r="O1130" s="89"/>
      <c r="P1130" s="48">
        <v>41246</v>
      </c>
      <c r="Q1130" s="68">
        <v>43072</v>
      </c>
      <c r="R1130" s="49">
        <v>12302</v>
      </c>
    </row>
    <row r="1131" spans="1:18" s="1" customFormat="1" ht="38.25" x14ac:dyDescent="0.2">
      <c r="A1131" s="45" t="s">
        <v>3341</v>
      </c>
      <c r="B1131" s="45">
        <v>33653</v>
      </c>
      <c r="C1131" s="50" t="s">
        <v>369</v>
      </c>
      <c r="D1131" s="50" t="s">
        <v>750</v>
      </c>
      <c r="E1131" s="80" t="s">
        <v>3332</v>
      </c>
      <c r="F1131" s="50" t="s">
        <v>63</v>
      </c>
      <c r="G1131" s="50" t="s">
        <v>3342</v>
      </c>
      <c r="H1131" s="88">
        <f>186782.79</f>
        <v>186782.79</v>
      </c>
      <c r="I1131" s="88"/>
      <c r="J1131" s="89"/>
      <c r="K1131" s="89">
        <v>12650</v>
      </c>
      <c r="L1131" s="89">
        <f t="shared" si="34"/>
        <v>199432.79</v>
      </c>
      <c r="M1131" s="87">
        <f t="shared" si="35"/>
        <v>199432.79</v>
      </c>
      <c r="N1131" s="89"/>
      <c r="O1131" s="89"/>
      <c r="P1131" s="48">
        <v>41214</v>
      </c>
      <c r="Q1131" s="68">
        <v>42767</v>
      </c>
      <c r="R1131" s="49">
        <v>11811</v>
      </c>
    </row>
    <row r="1132" spans="1:18" s="1" customFormat="1" ht="38.25" x14ac:dyDescent="0.2">
      <c r="A1132" s="45" t="s">
        <v>3343</v>
      </c>
      <c r="B1132" s="45">
        <v>34888</v>
      </c>
      <c r="C1132" s="50" t="s">
        <v>3344</v>
      </c>
      <c r="D1132" s="50" t="s">
        <v>3345</v>
      </c>
      <c r="E1132" s="80" t="s">
        <v>2639</v>
      </c>
      <c r="F1132" s="50" t="s">
        <v>98</v>
      </c>
      <c r="G1132" s="50" t="s">
        <v>3346</v>
      </c>
      <c r="H1132" s="88">
        <v>4995</v>
      </c>
      <c r="I1132" s="88"/>
      <c r="J1132" s="89"/>
      <c r="K1132" s="89"/>
      <c r="L1132" s="89">
        <f t="shared" si="34"/>
        <v>4995</v>
      </c>
      <c r="M1132" s="87">
        <f t="shared" si="35"/>
        <v>4995</v>
      </c>
      <c r="N1132" s="89"/>
      <c r="O1132" s="89"/>
      <c r="P1132" s="48">
        <v>41254</v>
      </c>
      <c r="Q1132" s="68">
        <v>41436</v>
      </c>
      <c r="R1132" s="49">
        <v>12594</v>
      </c>
    </row>
    <row r="1133" spans="1:18" s="1" customFormat="1" ht="38.25" x14ac:dyDescent="0.2">
      <c r="A1133" s="45" t="s">
        <v>3347</v>
      </c>
      <c r="B1133" s="45">
        <v>34307</v>
      </c>
      <c r="C1133" s="50" t="s">
        <v>19</v>
      </c>
      <c r="D1133" s="50" t="s">
        <v>3348</v>
      </c>
      <c r="E1133" s="80" t="s">
        <v>3332</v>
      </c>
      <c r="F1133" s="50" t="s">
        <v>22</v>
      </c>
      <c r="G1133" s="50" t="s">
        <v>3349</v>
      </c>
      <c r="H1133" s="88">
        <f>147982</f>
        <v>147982</v>
      </c>
      <c r="I1133" s="88"/>
      <c r="J1133" s="89"/>
      <c r="K1133" s="89">
        <v>52018</v>
      </c>
      <c r="L1133" s="89">
        <f t="shared" si="34"/>
        <v>200000</v>
      </c>
      <c r="M1133" s="87">
        <f t="shared" si="35"/>
        <v>200000</v>
      </c>
      <c r="N1133" s="89"/>
      <c r="O1133" s="89"/>
      <c r="P1133" s="48">
        <v>41234</v>
      </c>
      <c r="Q1133" s="68">
        <v>41599</v>
      </c>
      <c r="R1133" s="49">
        <v>12039</v>
      </c>
    </row>
    <row r="1134" spans="1:18" s="1" customFormat="1" ht="38.25" x14ac:dyDescent="0.2">
      <c r="A1134" s="45" t="s">
        <v>3350</v>
      </c>
      <c r="B1134" s="64">
        <v>34632</v>
      </c>
      <c r="C1134" s="50" t="s">
        <v>66</v>
      </c>
      <c r="D1134" s="50" t="s">
        <v>547</v>
      </c>
      <c r="E1134" s="80" t="s">
        <v>3351</v>
      </c>
      <c r="F1134" s="50" t="s">
        <v>98</v>
      </c>
      <c r="G1134" s="50" t="s">
        <v>3352</v>
      </c>
      <c r="H1134" s="88"/>
      <c r="I1134" s="88">
        <v>672000</v>
      </c>
      <c r="J1134" s="89"/>
      <c r="K1134" s="89"/>
      <c r="L1134" s="89">
        <f t="shared" si="34"/>
        <v>672000</v>
      </c>
      <c r="M1134" s="87">
        <f t="shared" si="35"/>
        <v>672000</v>
      </c>
      <c r="N1134" s="89"/>
      <c r="O1134" s="89"/>
      <c r="P1134" s="48">
        <v>41239</v>
      </c>
      <c r="Q1134" s="68">
        <v>41604</v>
      </c>
      <c r="R1134" s="49">
        <v>12007</v>
      </c>
    </row>
    <row r="1135" spans="1:18" s="1" customFormat="1" ht="25.5" x14ac:dyDescent="0.2">
      <c r="A1135" s="45" t="s">
        <v>3353</v>
      </c>
      <c r="B1135" s="64">
        <v>34611</v>
      </c>
      <c r="C1135" s="50" t="s">
        <v>238</v>
      </c>
      <c r="D1135" s="50" t="s">
        <v>657</v>
      </c>
      <c r="E1135" s="80" t="s">
        <v>3351</v>
      </c>
      <c r="F1135" s="50" t="s">
        <v>63</v>
      </c>
      <c r="G1135" s="50" t="s">
        <v>3354</v>
      </c>
      <c r="H1135" s="88"/>
      <c r="I1135" s="88">
        <v>240000</v>
      </c>
      <c r="J1135" s="89"/>
      <c r="K1135" s="89"/>
      <c r="L1135" s="89">
        <f t="shared" si="34"/>
        <v>240000</v>
      </c>
      <c r="M1135" s="87">
        <f t="shared" si="35"/>
        <v>240000</v>
      </c>
      <c r="N1135" s="89"/>
      <c r="O1135" s="89"/>
      <c r="P1135" s="48">
        <v>41234</v>
      </c>
      <c r="Q1135" s="68">
        <v>41599</v>
      </c>
      <c r="R1135" s="49">
        <v>12037</v>
      </c>
    </row>
    <row r="1136" spans="1:18" s="1" customFormat="1" ht="51" x14ac:dyDescent="0.2">
      <c r="A1136" s="45" t="s">
        <v>3355</v>
      </c>
      <c r="B1136" s="64">
        <v>34637</v>
      </c>
      <c r="C1136" s="50" t="s">
        <v>107</v>
      </c>
      <c r="D1136" s="50" t="s">
        <v>2233</v>
      </c>
      <c r="E1136" s="80" t="s">
        <v>3351</v>
      </c>
      <c r="F1136" s="50" t="s">
        <v>63</v>
      </c>
      <c r="G1136" s="50" t="s">
        <v>3356</v>
      </c>
      <c r="H1136" s="88"/>
      <c r="I1136" s="88">
        <v>672000</v>
      </c>
      <c r="J1136" s="89"/>
      <c r="K1136" s="89"/>
      <c r="L1136" s="89">
        <f t="shared" si="34"/>
        <v>672000</v>
      </c>
      <c r="M1136" s="87">
        <f t="shared" si="35"/>
        <v>672000</v>
      </c>
      <c r="N1136" s="89"/>
      <c r="O1136" s="89"/>
      <c r="P1136" s="48">
        <v>41246</v>
      </c>
      <c r="Q1136" s="68">
        <v>41611</v>
      </c>
      <c r="R1136" s="49">
        <v>12307</v>
      </c>
    </row>
    <row r="1137" spans="1:18" s="1" customFormat="1" ht="51" x14ac:dyDescent="0.2">
      <c r="A1137" s="45" t="s">
        <v>3357</v>
      </c>
      <c r="B1137" s="64">
        <v>34642</v>
      </c>
      <c r="C1137" s="50" t="s">
        <v>43</v>
      </c>
      <c r="D1137" s="50" t="s">
        <v>202</v>
      </c>
      <c r="E1137" s="80" t="s">
        <v>3351</v>
      </c>
      <c r="F1137" s="81" t="s">
        <v>94</v>
      </c>
      <c r="G1137" s="50" t="s">
        <v>3358</v>
      </c>
      <c r="H1137" s="88"/>
      <c r="I1137" s="88">
        <v>720000</v>
      </c>
      <c r="J1137" s="89"/>
      <c r="K1137" s="89"/>
      <c r="L1137" s="89">
        <f t="shared" si="34"/>
        <v>720000</v>
      </c>
      <c r="M1137" s="87">
        <f t="shared" si="35"/>
        <v>720000</v>
      </c>
      <c r="N1137" s="89"/>
      <c r="O1137" s="89"/>
      <c r="P1137" s="48">
        <v>41299</v>
      </c>
      <c r="Q1137" s="68">
        <v>41664</v>
      </c>
      <c r="R1137" s="49">
        <v>12772</v>
      </c>
    </row>
    <row r="1138" spans="1:18" s="1" customFormat="1" ht="38.25" x14ac:dyDescent="0.2">
      <c r="A1138" s="45" t="s">
        <v>3359</v>
      </c>
      <c r="B1138" s="64">
        <v>34592</v>
      </c>
      <c r="C1138" s="50" t="s">
        <v>35</v>
      </c>
      <c r="D1138" s="50" t="s">
        <v>125</v>
      </c>
      <c r="E1138" s="80" t="s">
        <v>3351</v>
      </c>
      <c r="F1138" s="50" t="s">
        <v>98</v>
      </c>
      <c r="G1138" s="50" t="s">
        <v>3360</v>
      </c>
      <c r="H1138" s="88"/>
      <c r="I1138" s="88">
        <v>768000</v>
      </c>
      <c r="J1138" s="89"/>
      <c r="K1138" s="89"/>
      <c r="L1138" s="89">
        <f t="shared" si="34"/>
        <v>768000</v>
      </c>
      <c r="M1138" s="87">
        <f t="shared" si="35"/>
        <v>768000</v>
      </c>
      <c r="N1138" s="89"/>
      <c r="O1138" s="89"/>
      <c r="P1138" s="48">
        <v>41233</v>
      </c>
      <c r="Q1138" s="68">
        <v>41598</v>
      </c>
      <c r="R1138" s="49">
        <v>12264</v>
      </c>
    </row>
    <row r="1139" spans="1:18" s="1" customFormat="1" ht="25.5" x14ac:dyDescent="0.2">
      <c r="A1139" s="45" t="s">
        <v>3361</v>
      </c>
      <c r="B1139" s="64">
        <v>34470</v>
      </c>
      <c r="C1139" s="50" t="s">
        <v>369</v>
      </c>
      <c r="D1139" s="50" t="s">
        <v>3362</v>
      </c>
      <c r="E1139" s="80" t="s">
        <v>3351</v>
      </c>
      <c r="F1139" s="50" t="s">
        <v>98</v>
      </c>
      <c r="G1139" s="50" t="s">
        <v>3363</v>
      </c>
      <c r="H1139" s="88"/>
      <c r="I1139" s="88">
        <v>672000</v>
      </c>
      <c r="J1139" s="89"/>
      <c r="K1139" s="89"/>
      <c r="L1139" s="89">
        <f t="shared" si="34"/>
        <v>672000</v>
      </c>
      <c r="M1139" s="87">
        <f t="shared" si="35"/>
        <v>672000</v>
      </c>
      <c r="N1139" s="89"/>
      <c r="O1139" s="89"/>
      <c r="P1139" s="48">
        <v>41214</v>
      </c>
      <c r="Q1139" s="68">
        <v>41579</v>
      </c>
      <c r="R1139" s="49">
        <v>12078</v>
      </c>
    </row>
    <row r="1140" spans="1:18" s="1" customFormat="1" ht="38.25" x14ac:dyDescent="0.2">
      <c r="A1140" s="45" t="s">
        <v>3364</v>
      </c>
      <c r="B1140" s="64">
        <v>34577</v>
      </c>
      <c r="C1140" s="50" t="s">
        <v>19</v>
      </c>
      <c r="D1140" s="50" t="s">
        <v>3365</v>
      </c>
      <c r="E1140" s="80" t="s">
        <v>3351</v>
      </c>
      <c r="F1140" s="81" t="s">
        <v>87</v>
      </c>
      <c r="G1140" s="50" t="s">
        <v>3366</v>
      </c>
      <c r="H1140" s="88"/>
      <c r="I1140" s="88">
        <v>768000</v>
      </c>
      <c r="J1140" s="89"/>
      <c r="K1140" s="89"/>
      <c r="L1140" s="89">
        <f t="shared" si="34"/>
        <v>768000</v>
      </c>
      <c r="M1140" s="87">
        <f t="shared" si="35"/>
        <v>768000</v>
      </c>
      <c r="N1140" s="89"/>
      <c r="O1140" s="89"/>
      <c r="P1140" s="48">
        <v>41214</v>
      </c>
      <c r="Q1140" s="68">
        <v>41579</v>
      </c>
      <c r="R1140" s="49">
        <v>12318</v>
      </c>
    </row>
    <row r="1141" spans="1:18" s="1" customFormat="1" ht="25.5" x14ac:dyDescent="0.2">
      <c r="A1141" s="45" t="s">
        <v>3367</v>
      </c>
      <c r="B1141" s="45">
        <v>34617</v>
      </c>
      <c r="C1141" s="50" t="s">
        <v>407</v>
      </c>
      <c r="D1141" s="50" t="s">
        <v>3368</v>
      </c>
      <c r="E1141" s="80" t="s">
        <v>3369</v>
      </c>
      <c r="F1141" s="81" t="s">
        <v>63</v>
      </c>
      <c r="G1141" s="50" t="s">
        <v>3370</v>
      </c>
      <c r="H1141" s="88"/>
      <c r="I1141" s="88"/>
      <c r="J1141" s="89"/>
      <c r="K1141" s="89">
        <v>124800</v>
      </c>
      <c r="L1141" s="89">
        <f t="shared" si="34"/>
        <v>124800</v>
      </c>
      <c r="M1141" s="87">
        <f t="shared" si="35"/>
        <v>124800</v>
      </c>
      <c r="N1141" s="89"/>
      <c r="O1141" s="89"/>
      <c r="P1141" s="48">
        <v>41229</v>
      </c>
      <c r="Q1141" s="68">
        <v>41604</v>
      </c>
      <c r="R1141" s="49">
        <v>12016</v>
      </c>
    </row>
    <row r="1142" spans="1:18" s="1" customFormat="1" ht="38.25" x14ac:dyDescent="0.2">
      <c r="A1142" s="45" t="s">
        <v>3371</v>
      </c>
      <c r="B1142" s="45">
        <v>34606</v>
      </c>
      <c r="C1142" s="50" t="s">
        <v>238</v>
      </c>
      <c r="D1142" s="50" t="s">
        <v>657</v>
      </c>
      <c r="E1142" s="80" t="s">
        <v>3369</v>
      </c>
      <c r="F1142" s="50" t="s">
        <v>63</v>
      </c>
      <c r="G1142" s="50" t="s">
        <v>3372</v>
      </c>
      <c r="H1142" s="88"/>
      <c r="I1142" s="88"/>
      <c r="J1142" s="89"/>
      <c r="K1142" s="89">
        <v>199400</v>
      </c>
      <c r="L1142" s="89">
        <f t="shared" si="34"/>
        <v>199400</v>
      </c>
      <c r="M1142" s="87">
        <f t="shared" si="35"/>
        <v>199400</v>
      </c>
      <c r="N1142" s="89"/>
      <c r="O1142" s="89"/>
      <c r="P1142" s="48">
        <v>41219</v>
      </c>
      <c r="Q1142" s="68">
        <v>43045</v>
      </c>
      <c r="R1142" s="49">
        <v>12023</v>
      </c>
    </row>
    <row r="1143" spans="1:18" s="1" customFormat="1" ht="63.75" x14ac:dyDescent="0.2">
      <c r="A1143" s="45" t="s">
        <v>3373</v>
      </c>
      <c r="B1143" s="45">
        <v>34605</v>
      </c>
      <c r="C1143" s="50" t="s">
        <v>1713</v>
      </c>
      <c r="D1143" s="50" t="s">
        <v>3374</v>
      </c>
      <c r="E1143" s="80" t="s">
        <v>3369</v>
      </c>
      <c r="F1143" s="50" t="s">
        <v>71</v>
      </c>
      <c r="G1143" s="50" t="s">
        <v>3375</v>
      </c>
      <c r="H1143" s="88">
        <v>10000</v>
      </c>
      <c r="I1143" s="88"/>
      <c r="J1143" s="89"/>
      <c r="K1143" s="89">
        <v>88321.22</v>
      </c>
      <c r="L1143" s="89">
        <f t="shared" si="34"/>
        <v>98321.22</v>
      </c>
      <c r="M1143" s="87">
        <f t="shared" si="35"/>
        <v>98321.22</v>
      </c>
      <c r="N1143" s="89"/>
      <c r="O1143" s="89"/>
      <c r="P1143" s="48">
        <v>41232</v>
      </c>
      <c r="Q1143" s="68">
        <v>41943</v>
      </c>
      <c r="R1143" s="49">
        <v>12044</v>
      </c>
    </row>
    <row r="1144" spans="1:18" s="1" customFormat="1" ht="38.25" x14ac:dyDescent="0.2">
      <c r="A1144" s="45" t="s">
        <v>3376</v>
      </c>
      <c r="B1144" s="45">
        <v>34603</v>
      </c>
      <c r="C1144" s="50" t="s">
        <v>1129</v>
      </c>
      <c r="D1144" s="50" t="s">
        <v>2223</v>
      </c>
      <c r="E1144" s="80" t="s">
        <v>3369</v>
      </c>
      <c r="F1144" s="50" t="s">
        <v>98</v>
      </c>
      <c r="G1144" s="50" t="s">
        <v>3377</v>
      </c>
      <c r="H1144" s="88"/>
      <c r="I1144" s="88"/>
      <c r="J1144" s="89"/>
      <c r="K1144" s="89">
        <v>118000</v>
      </c>
      <c r="L1144" s="89">
        <f t="shared" si="34"/>
        <v>118000</v>
      </c>
      <c r="M1144" s="87">
        <f t="shared" si="35"/>
        <v>118000</v>
      </c>
      <c r="N1144" s="89"/>
      <c r="O1144" s="89"/>
      <c r="P1144" s="48">
        <v>41225</v>
      </c>
      <c r="Q1144" s="68">
        <v>41955</v>
      </c>
      <c r="R1144" s="49">
        <v>12305</v>
      </c>
    </row>
    <row r="1145" spans="1:18" s="1" customFormat="1" ht="25.5" x14ac:dyDescent="0.2">
      <c r="A1145" s="45" t="s">
        <v>3378</v>
      </c>
      <c r="B1145" s="45">
        <v>34467</v>
      </c>
      <c r="C1145" s="50" t="s">
        <v>53</v>
      </c>
      <c r="D1145" s="50" t="s">
        <v>3379</v>
      </c>
      <c r="E1145" s="80" t="s">
        <v>3369</v>
      </c>
      <c r="F1145" s="81" t="s">
        <v>71</v>
      </c>
      <c r="G1145" s="50" t="s">
        <v>3380</v>
      </c>
      <c r="H1145" s="88">
        <v>7000</v>
      </c>
      <c r="I1145" s="88"/>
      <c r="J1145" s="89"/>
      <c r="K1145" s="89">
        <v>156000</v>
      </c>
      <c r="L1145" s="89">
        <f t="shared" si="34"/>
        <v>163000</v>
      </c>
      <c r="M1145" s="87">
        <f t="shared" si="35"/>
        <v>163000</v>
      </c>
      <c r="N1145" s="89"/>
      <c r="O1145" s="89"/>
      <c r="P1145" s="48">
        <v>41255</v>
      </c>
      <c r="Q1145" s="68">
        <v>41620</v>
      </c>
      <c r="R1145" s="49">
        <v>12344</v>
      </c>
    </row>
    <row r="1146" spans="1:18" s="1" customFormat="1" ht="38.25" x14ac:dyDescent="0.2">
      <c r="A1146" s="45" t="s">
        <v>3381</v>
      </c>
      <c r="B1146" s="45">
        <v>34818</v>
      </c>
      <c r="C1146" s="50" t="s">
        <v>43</v>
      </c>
      <c r="D1146" s="50" t="s">
        <v>3382</v>
      </c>
      <c r="E1146" s="80" t="s">
        <v>2331</v>
      </c>
      <c r="F1146" s="50" t="s">
        <v>98</v>
      </c>
      <c r="G1146" s="50" t="s">
        <v>3383</v>
      </c>
      <c r="H1146" s="88">
        <v>54522</v>
      </c>
      <c r="I1146" s="88"/>
      <c r="J1146" s="89"/>
      <c r="K1146" s="89"/>
      <c r="L1146" s="89">
        <f t="shared" si="34"/>
        <v>54522</v>
      </c>
      <c r="M1146" s="87">
        <f t="shared" si="35"/>
        <v>54522</v>
      </c>
      <c r="N1146" s="89"/>
      <c r="O1146" s="89"/>
      <c r="P1146" s="48">
        <v>41225</v>
      </c>
      <c r="Q1146" s="68">
        <v>41345</v>
      </c>
      <c r="R1146" s="49">
        <v>12108</v>
      </c>
    </row>
    <row r="1147" spans="1:18" s="1" customFormat="1" ht="25.5" x14ac:dyDescent="0.2">
      <c r="A1147" s="45" t="s">
        <v>3384</v>
      </c>
      <c r="B1147" s="57">
        <v>23106</v>
      </c>
      <c r="C1147" s="60" t="s">
        <v>19</v>
      </c>
      <c r="D1147" s="60" t="s">
        <v>3385</v>
      </c>
      <c r="E1147" s="50" t="s">
        <v>2360</v>
      </c>
      <c r="F1147" s="50" t="s">
        <v>240</v>
      </c>
      <c r="G1147" s="50" t="s">
        <v>3386</v>
      </c>
      <c r="H1147" s="99"/>
      <c r="I1147" s="100">
        <v>15000</v>
      </c>
      <c r="J1147" s="99"/>
      <c r="K1147" s="99"/>
      <c r="L1147" s="89">
        <f t="shared" si="34"/>
        <v>15000</v>
      </c>
      <c r="M1147" s="87">
        <f t="shared" si="35"/>
        <v>15000</v>
      </c>
      <c r="N1147" s="89"/>
      <c r="O1147" s="89"/>
      <c r="P1147" s="48">
        <v>41234</v>
      </c>
      <c r="Q1147" s="68">
        <v>41780</v>
      </c>
      <c r="R1147" s="49">
        <v>12041</v>
      </c>
    </row>
    <row r="1148" spans="1:18" s="1" customFormat="1" ht="51" x14ac:dyDescent="0.2">
      <c r="A1148" s="45" t="s">
        <v>3387</v>
      </c>
      <c r="B1148" s="57">
        <v>25189</v>
      </c>
      <c r="C1148" s="60" t="s">
        <v>19</v>
      </c>
      <c r="D1148" s="60" t="s">
        <v>3388</v>
      </c>
      <c r="E1148" s="50" t="s">
        <v>2360</v>
      </c>
      <c r="F1148" s="50" t="s">
        <v>87</v>
      </c>
      <c r="G1148" s="50" t="s">
        <v>3389</v>
      </c>
      <c r="H1148" s="99"/>
      <c r="I1148" s="100">
        <v>15000</v>
      </c>
      <c r="J1148" s="99"/>
      <c r="K1148" s="99"/>
      <c r="L1148" s="89">
        <f t="shared" si="34"/>
        <v>15000</v>
      </c>
      <c r="M1148" s="87">
        <f t="shared" si="35"/>
        <v>15000</v>
      </c>
      <c r="N1148" s="89"/>
      <c r="O1148" s="89"/>
      <c r="P1148" s="48">
        <v>41324</v>
      </c>
      <c r="Q1148" s="68">
        <v>41778</v>
      </c>
      <c r="R1148" s="53">
        <v>13349</v>
      </c>
    </row>
    <row r="1149" spans="1:18" s="1" customFormat="1" ht="51" x14ac:dyDescent="0.2">
      <c r="A1149" s="45" t="s">
        <v>3390</v>
      </c>
      <c r="B1149" s="45">
        <v>32760</v>
      </c>
      <c r="C1149" s="50" t="s">
        <v>3391</v>
      </c>
      <c r="D1149" s="50" t="s">
        <v>3392</v>
      </c>
      <c r="E1149" s="80" t="s">
        <v>3393</v>
      </c>
      <c r="F1149" s="50" t="s">
        <v>45</v>
      </c>
      <c r="G1149" s="50" t="s">
        <v>3394</v>
      </c>
      <c r="H1149" s="88"/>
      <c r="I1149" s="88">
        <v>2571</v>
      </c>
      <c r="J1149" s="89"/>
      <c r="K1149" s="89"/>
      <c r="L1149" s="89">
        <f t="shared" si="34"/>
        <v>2571</v>
      </c>
      <c r="M1149" s="87">
        <f t="shared" si="35"/>
        <v>2571</v>
      </c>
      <c r="N1149" s="89"/>
      <c r="O1149" s="89"/>
      <c r="P1149" s="48">
        <v>41227</v>
      </c>
      <c r="Q1149" s="68">
        <v>41347</v>
      </c>
      <c r="R1149" s="49">
        <v>12276</v>
      </c>
    </row>
    <row r="1150" spans="1:18" s="1" customFormat="1" ht="51" x14ac:dyDescent="0.2">
      <c r="A1150" s="45" t="s">
        <v>3395</v>
      </c>
      <c r="B1150" s="45">
        <v>33327</v>
      </c>
      <c r="C1150" s="50" t="s">
        <v>507</v>
      </c>
      <c r="D1150" s="50" t="s">
        <v>3396</v>
      </c>
      <c r="E1150" s="80" t="s">
        <v>3393</v>
      </c>
      <c r="F1150" s="50" t="s">
        <v>98</v>
      </c>
      <c r="G1150" s="50" t="s">
        <v>3397</v>
      </c>
      <c r="H1150" s="88"/>
      <c r="I1150" s="88">
        <v>10284</v>
      </c>
      <c r="J1150" s="89"/>
      <c r="K1150" s="89"/>
      <c r="L1150" s="89">
        <f t="shared" si="34"/>
        <v>10284</v>
      </c>
      <c r="M1150" s="87">
        <f t="shared" si="35"/>
        <v>10284</v>
      </c>
      <c r="N1150" s="89"/>
      <c r="O1150" s="89"/>
      <c r="P1150" s="48">
        <v>41227</v>
      </c>
      <c r="Q1150" s="68">
        <v>41592</v>
      </c>
      <c r="R1150" s="49">
        <v>12277</v>
      </c>
    </row>
    <row r="1151" spans="1:18" s="1" customFormat="1" ht="51" x14ac:dyDescent="0.2">
      <c r="A1151" s="45" t="s">
        <v>3398</v>
      </c>
      <c r="B1151" s="45">
        <v>33257</v>
      </c>
      <c r="C1151" s="50" t="s">
        <v>507</v>
      </c>
      <c r="D1151" s="50" t="s">
        <v>3399</v>
      </c>
      <c r="E1151" s="80" t="s">
        <v>3393</v>
      </c>
      <c r="F1151" s="50" t="s">
        <v>98</v>
      </c>
      <c r="G1151" s="50" t="s">
        <v>3400</v>
      </c>
      <c r="H1151" s="88"/>
      <c r="I1151" s="88">
        <v>10284</v>
      </c>
      <c r="J1151" s="89"/>
      <c r="K1151" s="89"/>
      <c r="L1151" s="89">
        <f t="shared" si="34"/>
        <v>10284</v>
      </c>
      <c r="M1151" s="87">
        <f t="shared" si="35"/>
        <v>10284</v>
      </c>
      <c r="N1151" s="89"/>
      <c r="O1151" s="89"/>
      <c r="P1151" s="48">
        <v>41227</v>
      </c>
      <c r="Q1151" s="68">
        <v>41592</v>
      </c>
      <c r="R1151" s="49">
        <v>12278</v>
      </c>
    </row>
    <row r="1152" spans="1:18" s="1" customFormat="1" ht="51" x14ac:dyDescent="0.2">
      <c r="A1152" s="45" t="s">
        <v>3401</v>
      </c>
      <c r="B1152" s="45">
        <v>32646</v>
      </c>
      <c r="C1152" s="50" t="s">
        <v>1135</v>
      </c>
      <c r="D1152" s="50" t="s">
        <v>3402</v>
      </c>
      <c r="E1152" s="80" t="s">
        <v>3393</v>
      </c>
      <c r="F1152" s="50" t="s">
        <v>87</v>
      </c>
      <c r="G1152" s="50" t="s">
        <v>3403</v>
      </c>
      <c r="H1152" s="88"/>
      <c r="I1152" s="88">
        <v>9427</v>
      </c>
      <c r="J1152" s="89"/>
      <c r="K1152" s="89"/>
      <c r="L1152" s="89">
        <f t="shared" si="34"/>
        <v>9427</v>
      </c>
      <c r="M1152" s="87">
        <f t="shared" si="35"/>
        <v>9427</v>
      </c>
      <c r="N1152" s="89"/>
      <c r="O1152" s="89"/>
      <c r="P1152" s="48">
        <v>41225</v>
      </c>
      <c r="Q1152" s="68">
        <v>41559</v>
      </c>
      <c r="R1152" s="49">
        <v>12025</v>
      </c>
    </row>
    <row r="1153" spans="1:38" ht="63.75" x14ac:dyDescent="0.2">
      <c r="A1153" s="45" t="s">
        <v>3404</v>
      </c>
      <c r="B1153" s="45">
        <v>33102</v>
      </c>
      <c r="C1153" s="50" t="s">
        <v>507</v>
      </c>
      <c r="D1153" s="50" t="s">
        <v>3405</v>
      </c>
      <c r="E1153" s="80" t="s">
        <v>3393</v>
      </c>
      <c r="F1153" s="50" t="s">
        <v>98</v>
      </c>
      <c r="G1153" s="50" t="s">
        <v>3406</v>
      </c>
      <c r="H1153" s="88"/>
      <c r="I1153" s="88">
        <v>10284</v>
      </c>
      <c r="J1153" s="89"/>
      <c r="K1153" s="89"/>
      <c r="L1153" s="89">
        <f t="shared" si="34"/>
        <v>10284</v>
      </c>
      <c r="M1153" s="87">
        <f t="shared" si="35"/>
        <v>10284</v>
      </c>
      <c r="N1153" s="89"/>
      <c r="O1153" s="89"/>
      <c r="P1153" s="48">
        <v>41227</v>
      </c>
      <c r="Q1153" s="68">
        <v>41592</v>
      </c>
      <c r="R1153" s="49">
        <v>12280</v>
      </c>
    </row>
    <row r="1154" spans="1:38" ht="51" x14ac:dyDescent="0.2">
      <c r="A1154" s="45" t="s">
        <v>3407</v>
      </c>
      <c r="B1154" s="45">
        <v>33260</v>
      </c>
      <c r="C1154" s="50" t="s">
        <v>507</v>
      </c>
      <c r="D1154" s="50" t="s">
        <v>3408</v>
      </c>
      <c r="E1154" s="80" t="s">
        <v>3393</v>
      </c>
      <c r="F1154" s="50" t="s">
        <v>98</v>
      </c>
      <c r="G1154" s="50" t="s">
        <v>3409</v>
      </c>
      <c r="H1154" s="88"/>
      <c r="I1154" s="88">
        <v>3428</v>
      </c>
      <c r="J1154" s="89"/>
      <c r="K1154" s="89"/>
      <c r="L1154" s="89">
        <f t="shared" si="34"/>
        <v>3428</v>
      </c>
      <c r="M1154" s="87">
        <f t="shared" si="35"/>
        <v>3428</v>
      </c>
      <c r="N1154" s="89"/>
      <c r="O1154" s="89"/>
      <c r="P1154" s="48">
        <v>41227</v>
      </c>
      <c r="Q1154" s="68">
        <v>41347</v>
      </c>
      <c r="R1154" s="49">
        <v>12263</v>
      </c>
    </row>
    <row r="1155" spans="1:38" ht="51" x14ac:dyDescent="0.2">
      <c r="A1155" s="45" t="s">
        <v>3410</v>
      </c>
      <c r="B1155" s="45">
        <v>33289</v>
      </c>
      <c r="C1155" s="50" t="s">
        <v>507</v>
      </c>
      <c r="D1155" s="50" t="s">
        <v>3411</v>
      </c>
      <c r="E1155" s="80" t="s">
        <v>3393</v>
      </c>
      <c r="F1155" s="50" t="s">
        <v>98</v>
      </c>
      <c r="G1155" s="50" t="s">
        <v>3412</v>
      </c>
      <c r="H1155" s="88"/>
      <c r="I1155" s="88">
        <v>10284</v>
      </c>
      <c r="J1155" s="89"/>
      <c r="K1155" s="89"/>
      <c r="L1155" s="89">
        <f t="shared" si="34"/>
        <v>10284</v>
      </c>
      <c r="M1155" s="87">
        <f t="shared" si="35"/>
        <v>10284</v>
      </c>
      <c r="N1155" s="89"/>
      <c r="O1155" s="89"/>
      <c r="P1155" s="48">
        <v>41227</v>
      </c>
      <c r="Q1155" s="68">
        <v>41592</v>
      </c>
      <c r="R1155" s="49">
        <v>12104</v>
      </c>
    </row>
    <row r="1156" spans="1:38" ht="51" x14ac:dyDescent="0.2">
      <c r="A1156" s="45" t="s">
        <v>3413</v>
      </c>
      <c r="B1156" s="45">
        <v>33135</v>
      </c>
      <c r="C1156" s="50" t="s">
        <v>3312</v>
      </c>
      <c r="D1156" s="50" t="s">
        <v>3414</v>
      </c>
      <c r="E1156" s="80" t="s">
        <v>3393</v>
      </c>
      <c r="F1156" s="50" t="s">
        <v>167</v>
      </c>
      <c r="G1156" s="50" t="s">
        <v>3415</v>
      </c>
      <c r="H1156" s="88"/>
      <c r="I1156" s="88">
        <v>10284</v>
      </c>
      <c r="J1156" s="89"/>
      <c r="K1156" s="89"/>
      <c r="L1156" s="89">
        <f t="shared" si="34"/>
        <v>10284</v>
      </c>
      <c r="M1156" s="87">
        <f t="shared" si="35"/>
        <v>10284</v>
      </c>
      <c r="N1156" s="89"/>
      <c r="O1156" s="89"/>
      <c r="P1156" s="48">
        <v>41225</v>
      </c>
      <c r="Q1156" s="68">
        <v>41590</v>
      </c>
      <c r="R1156" s="49">
        <v>12026</v>
      </c>
    </row>
    <row r="1157" spans="1:38" ht="51" x14ac:dyDescent="0.2">
      <c r="A1157" s="45" t="s">
        <v>3416</v>
      </c>
      <c r="B1157" s="45">
        <v>33140</v>
      </c>
      <c r="C1157" s="50" t="s">
        <v>3312</v>
      </c>
      <c r="D1157" s="50" t="s">
        <v>3417</v>
      </c>
      <c r="E1157" s="80" t="s">
        <v>3393</v>
      </c>
      <c r="F1157" s="50" t="s">
        <v>87</v>
      </c>
      <c r="G1157" s="50" t="s">
        <v>3418</v>
      </c>
      <c r="H1157" s="88"/>
      <c r="I1157" s="88">
        <v>5142</v>
      </c>
      <c r="J1157" s="89"/>
      <c r="K1157" s="89"/>
      <c r="L1157" s="89">
        <f t="shared" si="34"/>
        <v>5142</v>
      </c>
      <c r="M1157" s="87">
        <f t="shared" si="35"/>
        <v>5142</v>
      </c>
      <c r="N1157" s="89"/>
      <c r="O1157" s="89"/>
      <c r="P1157" s="48">
        <v>41227</v>
      </c>
      <c r="Q1157" s="68">
        <v>41408</v>
      </c>
      <c r="R1157" s="49">
        <v>12111</v>
      </c>
    </row>
    <row r="1158" spans="1:38" ht="38.25" x14ac:dyDescent="0.2">
      <c r="A1158" s="45" t="s">
        <v>3419</v>
      </c>
      <c r="B1158" s="45">
        <v>33580</v>
      </c>
      <c r="C1158" s="50" t="s">
        <v>35</v>
      </c>
      <c r="D1158" s="50" t="s">
        <v>3420</v>
      </c>
      <c r="E1158" s="80" t="s">
        <v>3332</v>
      </c>
      <c r="F1158" s="81" t="s">
        <v>94</v>
      </c>
      <c r="G1158" s="50" t="s">
        <v>3421</v>
      </c>
      <c r="H1158" s="88">
        <f>57000+100000+43000</f>
        <v>200000</v>
      </c>
      <c r="I1158" s="88"/>
      <c r="J1158" s="89"/>
      <c r="K1158" s="89"/>
      <c r="L1158" s="89">
        <f t="shared" si="34"/>
        <v>200000</v>
      </c>
      <c r="M1158" s="87">
        <f t="shared" si="35"/>
        <v>200000</v>
      </c>
      <c r="N1158" s="89"/>
      <c r="O1158" s="89"/>
      <c r="P1158" s="48">
        <v>41233</v>
      </c>
      <c r="Q1158" s="68">
        <v>41598</v>
      </c>
      <c r="R1158" s="49">
        <v>12076</v>
      </c>
    </row>
    <row r="1159" spans="1:38" ht="51" x14ac:dyDescent="0.2">
      <c r="A1159" s="45" t="s">
        <v>3422</v>
      </c>
      <c r="B1159" s="45">
        <v>33243</v>
      </c>
      <c r="C1159" s="50" t="s">
        <v>574</v>
      </c>
      <c r="D1159" s="50" t="s">
        <v>3423</v>
      </c>
      <c r="E1159" s="80" t="s">
        <v>3393</v>
      </c>
      <c r="F1159" s="50" t="s">
        <v>45</v>
      </c>
      <c r="G1159" s="50" t="s">
        <v>3424</v>
      </c>
      <c r="H1159" s="88"/>
      <c r="I1159" s="88">
        <v>3428</v>
      </c>
      <c r="J1159" s="89"/>
      <c r="K1159" s="89"/>
      <c r="L1159" s="89">
        <f t="shared" ref="L1159:L1222" si="36">H1159+I1159+J1159+K1159</f>
        <v>3428</v>
      </c>
      <c r="M1159" s="87">
        <f t="shared" ref="M1159:M1222" si="37">SUM(L1159)</f>
        <v>3428</v>
      </c>
      <c r="N1159" s="89"/>
      <c r="O1159" s="89"/>
      <c r="P1159" s="48">
        <v>41242</v>
      </c>
      <c r="Q1159" s="68">
        <v>41517</v>
      </c>
      <c r="R1159" s="49">
        <v>12308</v>
      </c>
    </row>
    <row r="1160" spans="1:38" ht="63.75" x14ac:dyDescent="0.2">
      <c r="A1160" s="45" t="s">
        <v>3425</v>
      </c>
      <c r="B1160" s="45">
        <v>33191</v>
      </c>
      <c r="C1160" s="50" t="s">
        <v>1599</v>
      </c>
      <c r="D1160" s="50" t="s">
        <v>3426</v>
      </c>
      <c r="E1160" s="80" t="s">
        <v>3393</v>
      </c>
      <c r="F1160" s="50" t="s">
        <v>98</v>
      </c>
      <c r="G1160" s="50" t="s">
        <v>3427</v>
      </c>
      <c r="H1160" s="88"/>
      <c r="I1160" s="88">
        <v>10284</v>
      </c>
      <c r="J1160" s="89"/>
      <c r="K1160" s="89"/>
      <c r="L1160" s="89">
        <f t="shared" si="36"/>
        <v>10284</v>
      </c>
      <c r="M1160" s="87">
        <f t="shared" si="37"/>
        <v>10284</v>
      </c>
      <c r="N1160" s="89"/>
      <c r="O1160" s="89"/>
      <c r="P1160" s="48">
        <v>41233</v>
      </c>
      <c r="Q1160" s="68">
        <v>41598</v>
      </c>
      <c r="R1160" s="49">
        <v>12033</v>
      </c>
    </row>
    <row r="1161" spans="1:38" ht="51" x14ac:dyDescent="0.2">
      <c r="A1161" s="45" t="s">
        <v>3428</v>
      </c>
      <c r="B1161" s="45">
        <v>33111</v>
      </c>
      <c r="C1161" s="50" t="s">
        <v>534</v>
      </c>
      <c r="D1161" s="50" t="s">
        <v>3429</v>
      </c>
      <c r="E1161" s="80" t="s">
        <v>3393</v>
      </c>
      <c r="F1161" s="81" t="s">
        <v>45</v>
      </c>
      <c r="G1161" s="50" t="s">
        <v>3430</v>
      </c>
      <c r="H1161" s="88"/>
      <c r="I1161" s="88">
        <v>5999</v>
      </c>
      <c r="J1161" s="89"/>
      <c r="K1161" s="89"/>
      <c r="L1161" s="89">
        <f t="shared" si="36"/>
        <v>5999</v>
      </c>
      <c r="M1161" s="87">
        <f t="shared" si="37"/>
        <v>5999</v>
      </c>
      <c r="N1161" s="89"/>
      <c r="O1161" s="89"/>
      <c r="P1161" s="48">
        <v>41225</v>
      </c>
      <c r="Q1161" s="68">
        <v>41590</v>
      </c>
      <c r="R1161" s="49">
        <v>12024</v>
      </c>
    </row>
    <row r="1162" spans="1:38" ht="51" x14ac:dyDescent="0.2">
      <c r="A1162" s="45" t="s">
        <v>3431</v>
      </c>
      <c r="B1162" s="45">
        <v>33399</v>
      </c>
      <c r="C1162" s="50" t="s">
        <v>534</v>
      </c>
      <c r="D1162" s="50" t="s">
        <v>3432</v>
      </c>
      <c r="E1162" s="80" t="s">
        <v>3393</v>
      </c>
      <c r="F1162" s="81" t="s">
        <v>45</v>
      </c>
      <c r="G1162" s="50" t="s">
        <v>3433</v>
      </c>
      <c r="H1162" s="88"/>
      <c r="I1162" s="88">
        <v>5999</v>
      </c>
      <c r="J1162" s="89"/>
      <c r="K1162" s="89"/>
      <c r="L1162" s="89">
        <f t="shared" si="36"/>
        <v>5999</v>
      </c>
      <c r="M1162" s="87">
        <f t="shared" si="37"/>
        <v>5999</v>
      </c>
      <c r="N1162" s="89"/>
      <c r="O1162" s="89"/>
      <c r="P1162" s="48">
        <v>41225</v>
      </c>
      <c r="Q1162" s="68">
        <v>41590</v>
      </c>
      <c r="R1162" s="49">
        <v>12006</v>
      </c>
    </row>
    <row r="1163" spans="1:38" ht="51" x14ac:dyDescent="0.2">
      <c r="A1163" s="45" t="s">
        <v>3434</v>
      </c>
      <c r="B1163" s="64">
        <v>33251</v>
      </c>
      <c r="C1163" s="50" t="s">
        <v>414</v>
      </c>
      <c r="D1163" s="50" t="s">
        <v>3435</v>
      </c>
      <c r="E1163" s="80" t="s">
        <v>3393</v>
      </c>
      <c r="F1163" s="50" t="s">
        <v>98</v>
      </c>
      <c r="G1163" s="50" t="s">
        <v>3436</v>
      </c>
      <c r="H1163" s="88"/>
      <c r="I1163" s="88">
        <v>10284</v>
      </c>
      <c r="J1163" s="89"/>
      <c r="K1163" s="89"/>
      <c r="L1163" s="89">
        <f t="shared" si="36"/>
        <v>10284</v>
      </c>
      <c r="M1163" s="87">
        <f t="shared" si="37"/>
        <v>10284</v>
      </c>
      <c r="N1163" s="89"/>
      <c r="O1163" s="89"/>
      <c r="P1163" s="48">
        <v>41246</v>
      </c>
      <c r="Q1163" s="68">
        <v>41611</v>
      </c>
      <c r="R1163" s="49">
        <v>12310</v>
      </c>
    </row>
    <row r="1164" spans="1:38" s="44" customFormat="1" ht="51" x14ac:dyDescent="0.2">
      <c r="A1164" s="65" t="s">
        <v>3437</v>
      </c>
      <c r="B1164" s="65">
        <v>33127</v>
      </c>
      <c r="C1164" s="85" t="s">
        <v>2280</v>
      </c>
      <c r="D1164" s="85" t="s">
        <v>3438</v>
      </c>
      <c r="E1164" s="85" t="s">
        <v>3393</v>
      </c>
      <c r="F1164" s="85" t="s">
        <v>98</v>
      </c>
      <c r="G1164" s="85" t="s">
        <v>3439</v>
      </c>
      <c r="H1164" s="95"/>
      <c r="I1164" s="95">
        <v>5142</v>
      </c>
      <c r="J1164" s="96"/>
      <c r="K1164" s="96"/>
      <c r="L1164" s="96">
        <f t="shared" si="36"/>
        <v>5142</v>
      </c>
      <c r="M1164" s="97">
        <v>0</v>
      </c>
      <c r="N1164" s="96"/>
      <c r="O1164" s="96"/>
      <c r="P1164" s="67" t="s">
        <v>3191</v>
      </c>
      <c r="Q1164" s="71" t="s">
        <v>3191</v>
      </c>
      <c r="R1164" s="66"/>
      <c r="S1164" s="43"/>
      <c r="T1164" s="43"/>
      <c r="U1164" s="43"/>
      <c r="V1164" s="43"/>
      <c r="W1164" s="43"/>
      <c r="X1164" s="43"/>
      <c r="Y1164" s="43"/>
      <c r="Z1164" s="43"/>
      <c r="AA1164" s="43"/>
      <c r="AB1164" s="43"/>
      <c r="AC1164" s="43"/>
      <c r="AD1164" s="43"/>
      <c r="AE1164" s="43"/>
      <c r="AF1164" s="43"/>
      <c r="AG1164" s="43"/>
      <c r="AH1164" s="43"/>
      <c r="AI1164" s="43"/>
      <c r="AJ1164" s="43"/>
      <c r="AK1164" s="43"/>
      <c r="AL1164" s="43"/>
    </row>
    <row r="1165" spans="1:38" ht="51" x14ac:dyDescent="0.2">
      <c r="A1165" s="45" t="s">
        <v>3440</v>
      </c>
      <c r="B1165" s="45">
        <v>33147</v>
      </c>
      <c r="C1165" s="50" t="s">
        <v>2280</v>
      </c>
      <c r="D1165" s="50" t="s">
        <v>3441</v>
      </c>
      <c r="E1165" s="80" t="s">
        <v>3393</v>
      </c>
      <c r="F1165" s="50" t="s">
        <v>98</v>
      </c>
      <c r="G1165" s="50" t="s">
        <v>3442</v>
      </c>
      <c r="H1165" s="88"/>
      <c r="I1165" s="88">
        <v>9427</v>
      </c>
      <c r="J1165" s="89"/>
      <c r="K1165" s="89"/>
      <c r="L1165" s="89">
        <f t="shared" si="36"/>
        <v>9427</v>
      </c>
      <c r="M1165" s="87">
        <f t="shared" si="37"/>
        <v>9427</v>
      </c>
      <c r="N1165" s="89"/>
      <c r="O1165" s="89"/>
      <c r="P1165" s="48">
        <v>41246</v>
      </c>
      <c r="Q1165" s="68">
        <v>41581</v>
      </c>
      <c r="R1165" s="49">
        <v>12337</v>
      </c>
    </row>
    <row r="1166" spans="1:38" ht="51" x14ac:dyDescent="0.2">
      <c r="A1166" s="45" t="s">
        <v>3443</v>
      </c>
      <c r="B1166" s="45">
        <v>33248</v>
      </c>
      <c r="C1166" s="50" t="s">
        <v>1991</v>
      </c>
      <c r="D1166" s="50" t="s">
        <v>3444</v>
      </c>
      <c r="E1166" s="80" t="s">
        <v>3393</v>
      </c>
      <c r="F1166" s="50" t="s">
        <v>98</v>
      </c>
      <c r="G1166" s="50" t="s">
        <v>3445</v>
      </c>
      <c r="H1166" s="88"/>
      <c r="I1166" s="88">
        <v>10284</v>
      </c>
      <c r="J1166" s="89"/>
      <c r="K1166" s="89"/>
      <c r="L1166" s="89">
        <f t="shared" si="36"/>
        <v>10284</v>
      </c>
      <c r="M1166" s="87">
        <f t="shared" si="37"/>
        <v>10284</v>
      </c>
      <c r="N1166" s="89"/>
      <c r="O1166" s="89"/>
      <c r="P1166" s="48">
        <v>41225</v>
      </c>
      <c r="Q1166" s="68">
        <v>41590</v>
      </c>
      <c r="R1166" s="49">
        <v>12010</v>
      </c>
    </row>
    <row r="1167" spans="1:38" ht="51" x14ac:dyDescent="0.2">
      <c r="A1167" s="45" t="s">
        <v>3446</v>
      </c>
      <c r="B1167" s="45">
        <v>33084</v>
      </c>
      <c r="C1167" s="50" t="s">
        <v>1404</v>
      </c>
      <c r="D1167" s="50" t="s">
        <v>3447</v>
      </c>
      <c r="E1167" s="80" t="s">
        <v>3393</v>
      </c>
      <c r="F1167" s="50" t="s">
        <v>87</v>
      </c>
      <c r="G1167" s="50" t="s">
        <v>3448</v>
      </c>
      <c r="H1167" s="88"/>
      <c r="I1167" s="88">
        <v>5142</v>
      </c>
      <c r="J1167" s="89"/>
      <c r="K1167" s="89"/>
      <c r="L1167" s="89">
        <f t="shared" si="36"/>
        <v>5142</v>
      </c>
      <c r="M1167" s="87">
        <f t="shared" si="37"/>
        <v>5142</v>
      </c>
      <c r="N1167" s="89"/>
      <c r="O1167" s="89"/>
      <c r="P1167" s="48">
        <v>41233</v>
      </c>
      <c r="Q1167" s="68">
        <v>41414</v>
      </c>
      <c r="R1167" s="49">
        <v>12029</v>
      </c>
    </row>
    <row r="1168" spans="1:38" ht="51" x14ac:dyDescent="0.2">
      <c r="A1168" s="45" t="s">
        <v>3449</v>
      </c>
      <c r="B1168" s="45">
        <v>33116</v>
      </c>
      <c r="C1168" s="50" t="s">
        <v>1404</v>
      </c>
      <c r="D1168" s="50" t="s">
        <v>3450</v>
      </c>
      <c r="E1168" s="80" t="s">
        <v>3393</v>
      </c>
      <c r="F1168" s="50" t="s">
        <v>22</v>
      </c>
      <c r="G1168" s="50" t="s">
        <v>3451</v>
      </c>
      <c r="H1168" s="88"/>
      <c r="I1168" s="88">
        <v>5142</v>
      </c>
      <c r="J1168" s="89"/>
      <c r="K1168" s="89"/>
      <c r="L1168" s="89">
        <f t="shared" si="36"/>
        <v>5142</v>
      </c>
      <c r="M1168" s="87">
        <f t="shared" si="37"/>
        <v>5142</v>
      </c>
      <c r="N1168" s="89"/>
      <c r="O1168" s="89"/>
      <c r="P1168" s="48">
        <v>41233</v>
      </c>
      <c r="Q1168" s="68">
        <v>41414</v>
      </c>
      <c r="R1168" s="49">
        <v>12028</v>
      </c>
    </row>
    <row r="1169" spans="1:38" ht="51" x14ac:dyDescent="0.2">
      <c r="A1169" s="45" t="s">
        <v>3452</v>
      </c>
      <c r="B1169" s="45">
        <v>33211</v>
      </c>
      <c r="C1169" s="50" t="s">
        <v>1599</v>
      </c>
      <c r="D1169" s="50" t="s">
        <v>1053</v>
      </c>
      <c r="E1169" s="80" t="s">
        <v>3453</v>
      </c>
      <c r="F1169" s="50" t="s">
        <v>109</v>
      </c>
      <c r="G1169" s="50" t="s">
        <v>3454</v>
      </c>
      <c r="H1169" s="88">
        <f>250+5500+1600+1650</f>
        <v>9000</v>
      </c>
      <c r="I1169" s="88"/>
      <c r="J1169" s="89"/>
      <c r="K1169" s="89">
        <f>3000+2400+700+4900</f>
        <v>11000</v>
      </c>
      <c r="L1169" s="89">
        <f t="shared" si="36"/>
        <v>20000</v>
      </c>
      <c r="M1169" s="87">
        <f t="shared" si="37"/>
        <v>20000</v>
      </c>
      <c r="N1169" s="89"/>
      <c r="O1169" s="89"/>
      <c r="P1169" s="48">
        <v>41236</v>
      </c>
      <c r="Q1169" s="68">
        <v>43062</v>
      </c>
      <c r="R1169" s="49">
        <v>12008</v>
      </c>
    </row>
    <row r="1170" spans="1:38" ht="51" x14ac:dyDescent="0.2">
      <c r="A1170" s="45" t="s">
        <v>3455</v>
      </c>
      <c r="B1170" s="45">
        <v>33239</v>
      </c>
      <c r="C1170" s="50" t="s">
        <v>1404</v>
      </c>
      <c r="D1170" s="50" t="s">
        <v>3456</v>
      </c>
      <c r="E1170" s="80" t="s">
        <v>3453</v>
      </c>
      <c r="F1170" s="50" t="s">
        <v>109</v>
      </c>
      <c r="G1170" s="50" t="s">
        <v>3457</v>
      </c>
      <c r="H1170" s="88">
        <f>1797.95</f>
        <v>1797.95</v>
      </c>
      <c r="I1170" s="88"/>
      <c r="J1170" s="89"/>
      <c r="K1170" s="89">
        <v>18126.53</v>
      </c>
      <c r="L1170" s="89">
        <f t="shared" si="36"/>
        <v>19924.48</v>
      </c>
      <c r="M1170" s="87">
        <f t="shared" si="37"/>
        <v>19924.48</v>
      </c>
      <c r="N1170" s="89"/>
      <c r="O1170" s="89"/>
      <c r="P1170" s="48">
        <v>41246</v>
      </c>
      <c r="Q1170" s="68">
        <v>42250</v>
      </c>
      <c r="R1170" s="49">
        <v>12348</v>
      </c>
    </row>
    <row r="1171" spans="1:38" ht="25.5" x14ac:dyDescent="0.2">
      <c r="A1171" s="45" t="s">
        <v>3458</v>
      </c>
      <c r="B1171" s="45">
        <v>1674</v>
      </c>
      <c r="C1171" s="50" t="s">
        <v>3459</v>
      </c>
      <c r="D1171" s="50" t="s">
        <v>3460</v>
      </c>
      <c r="E1171" s="50" t="s">
        <v>308</v>
      </c>
      <c r="F1171" s="50" t="s">
        <v>71</v>
      </c>
      <c r="G1171" s="50" t="s">
        <v>3461</v>
      </c>
      <c r="H1171" s="88">
        <v>7950</v>
      </c>
      <c r="I1171" s="88"/>
      <c r="J1171" s="88"/>
      <c r="K1171" s="88"/>
      <c r="L1171" s="89">
        <f t="shared" si="36"/>
        <v>7950</v>
      </c>
      <c r="M1171" s="87">
        <f t="shared" si="37"/>
        <v>7950</v>
      </c>
      <c r="N1171" s="89"/>
      <c r="O1171" s="89"/>
      <c r="P1171" s="48">
        <v>41225</v>
      </c>
      <c r="Q1171" s="68">
        <v>41406</v>
      </c>
      <c r="R1171" s="49">
        <v>12311</v>
      </c>
    </row>
    <row r="1172" spans="1:38" s="44" customFormat="1" ht="25.5" x14ac:dyDescent="0.2">
      <c r="A1172" s="65" t="s">
        <v>3462</v>
      </c>
      <c r="B1172" s="65">
        <v>32967</v>
      </c>
      <c r="C1172" s="85" t="s">
        <v>3463</v>
      </c>
      <c r="D1172" s="85" t="s">
        <v>3464</v>
      </c>
      <c r="E1172" s="85" t="s">
        <v>308</v>
      </c>
      <c r="F1172" s="85" t="s">
        <v>71</v>
      </c>
      <c r="G1172" s="85" t="s">
        <v>3465</v>
      </c>
      <c r="H1172" s="95">
        <v>4836.8</v>
      </c>
      <c r="I1172" s="95"/>
      <c r="J1172" s="96"/>
      <c r="K1172" s="96"/>
      <c r="L1172" s="96">
        <f t="shared" si="36"/>
        <v>4836.8</v>
      </c>
      <c r="M1172" s="97"/>
      <c r="N1172" s="96"/>
      <c r="O1172" s="96"/>
      <c r="P1172" s="67" t="s">
        <v>3191</v>
      </c>
      <c r="Q1172" s="71" t="s">
        <v>3191</v>
      </c>
      <c r="R1172" s="66"/>
      <c r="S1172" s="43"/>
      <c r="T1172" s="43"/>
      <c r="U1172" s="43"/>
      <c r="V1172" s="43"/>
      <c r="W1172" s="43"/>
      <c r="X1172" s="43"/>
      <c r="Y1172" s="43"/>
      <c r="Z1172" s="43"/>
      <c r="AA1172" s="43"/>
      <c r="AB1172" s="43"/>
      <c r="AC1172" s="43"/>
      <c r="AD1172" s="43"/>
      <c r="AE1172" s="43"/>
      <c r="AF1172" s="43"/>
      <c r="AG1172" s="43"/>
      <c r="AH1172" s="43"/>
      <c r="AI1172" s="43"/>
      <c r="AJ1172" s="43"/>
      <c r="AK1172" s="43"/>
      <c r="AL1172" s="43"/>
    </row>
    <row r="1173" spans="1:38" ht="38.25" x14ac:dyDescent="0.2">
      <c r="A1173" s="45" t="s">
        <v>3466</v>
      </c>
      <c r="B1173" s="45">
        <v>1637</v>
      </c>
      <c r="C1173" s="50" t="s">
        <v>3467</v>
      </c>
      <c r="D1173" s="50" t="s">
        <v>3468</v>
      </c>
      <c r="E1173" s="50" t="s">
        <v>308</v>
      </c>
      <c r="F1173" s="50" t="s">
        <v>71</v>
      </c>
      <c r="G1173" s="50" t="s">
        <v>3469</v>
      </c>
      <c r="H1173" s="88">
        <v>7644.01</v>
      </c>
      <c r="I1173" s="88"/>
      <c r="J1173" s="89"/>
      <c r="K1173" s="89"/>
      <c r="L1173" s="89">
        <f t="shared" si="36"/>
        <v>7644.01</v>
      </c>
      <c r="M1173" s="87">
        <f t="shared" si="37"/>
        <v>7644.01</v>
      </c>
      <c r="N1173" s="89"/>
      <c r="O1173" s="89"/>
      <c r="P1173" s="48">
        <v>41225</v>
      </c>
      <c r="Q1173" s="68">
        <v>41406</v>
      </c>
      <c r="R1173" s="49">
        <v>12313</v>
      </c>
    </row>
    <row r="1174" spans="1:38" ht="25.5" x14ac:dyDescent="0.2">
      <c r="A1174" s="45" t="s">
        <v>3470</v>
      </c>
      <c r="B1174" s="45">
        <v>32796</v>
      </c>
      <c r="C1174" s="50" t="s">
        <v>3344</v>
      </c>
      <c r="D1174" s="50" t="s">
        <v>3471</v>
      </c>
      <c r="E1174" s="50" t="s">
        <v>308</v>
      </c>
      <c r="F1174" s="50" t="s">
        <v>87</v>
      </c>
      <c r="G1174" s="50" t="s">
        <v>3472</v>
      </c>
      <c r="H1174" s="88">
        <v>18470</v>
      </c>
      <c r="I1174" s="88"/>
      <c r="J1174" s="89"/>
      <c r="K1174" s="89"/>
      <c r="L1174" s="89">
        <f t="shared" si="36"/>
        <v>18470</v>
      </c>
      <c r="M1174" s="87">
        <f t="shared" si="37"/>
        <v>18470</v>
      </c>
      <c r="N1174" s="89"/>
      <c r="O1174" s="89"/>
      <c r="P1174" s="48">
        <v>41225</v>
      </c>
      <c r="Q1174" s="68">
        <v>41406</v>
      </c>
      <c r="R1174" s="49">
        <v>12261</v>
      </c>
    </row>
    <row r="1175" spans="1:38" ht="51" x14ac:dyDescent="0.2">
      <c r="A1175" s="45" t="s">
        <v>3473</v>
      </c>
      <c r="B1175" s="45">
        <v>33240</v>
      </c>
      <c r="C1175" s="50" t="s">
        <v>1404</v>
      </c>
      <c r="D1175" s="50" t="s">
        <v>3293</v>
      </c>
      <c r="E1175" s="80" t="s">
        <v>3453</v>
      </c>
      <c r="F1175" s="50" t="s">
        <v>398</v>
      </c>
      <c r="G1175" s="50" t="s">
        <v>3474</v>
      </c>
      <c r="H1175" s="88"/>
      <c r="I1175" s="88"/>
      <c r="J1175" s="89"/>
      <c r="K1175" s="89">
        <f>16200+3700</f>
        <v>19900</v>
      </c>
      <c r="L1175" s="89">
        <f t="shared" si="36"/>
        <v>19900</v>
      </c>
      <c r="M1175" s="87">
        <f t="shared" si="37"/>
        <v>19900</v>
      </c>
      <c r="N1175" s="89"/>
      <c r="O1175" s="89"/>
      <c r="P1175" s="48">
        <v>41246</v>
      </c>
      <c r="Q1175" s="68">
        <v>42616</v>
      </c>
      <c r="R1175" s="49">
        <v>12321</v>
      </c>
    </row>
    <row r="1176" spans="1:38" ht="38.25" x14ac:dyDescent="0.2">
      <c r="A1176" s="45" t="s">
        <v>3475</v>
      </c>
      <c r="B1176" s="45">
        <v>19303</v>
      </c>
      <c r="C1176" s="50" t="s">
        <v>3344</v>
      </c>
      <c r="D1176" s="50" t="s">
        <v>3476</v>
      </c>
      <c r="E1176" s="80" t="s">
        <v>21</v>
      </c>
      <c r="F1176" s="50" t="s">
        <v>121</v>
      </c>
      <c r="G1176" s="50" t="s">
        <v>3477</v>
      </c>
      <c r="H1176" s="88">
        <v>5904</v>
      </c>
      <c r="I1176" s="88"/>
      <c r="J1176" s="88"/>
      <c r="K1176" s="88"/>
      <c r="L1176" s="89">
        <f t="shared" si="36"/>
        <v>5904</v>
      </c>
      <c r="M1176" s="87">
        <f t="shared" si="37"/>
        <v>5904</v>
      </c>
      <c r="N1176" s="89"/>
      <c r="O1176" s="89"/>
      <c r="P1176" s="48">
        <v>41225</v>
      </c>
      <c r="Q1176" s="68">
        <v>41345</v>
      </c>
      <c r="R1176" s="49">
        <v>12253</v>
      </c>
    </row>
    <row r="1177" spans="1:38" ht="38.25" x14ac:dyDescent="0.2">
      <c r="A1177" s="45" t="s">
        <v>3478</v>
      </c>
      <c r="B1177" s="45">
        <v>26228</v>
      </c>
      <c r="C1177" s="50" t="s">
        <v>3344</v>
      </c>
      <c r="D1177" s="50" t="s">
        <v>3479</v>
      </c>
      <c r="E1177" s="80" t="s">
        <v>21</v>
      </c>
      <c r="F1177" s="50" t="s">
        <v>22</v>
      </c>
      <c r="G1177" s="50" t="s">
        <v>3480</v>
      </c>
      <c r="H1177" s="88">
        <v>5904</v>
      </c>
      <c r="I1177" s="88"/>
      <c r="J1177" s="88"/>
      <c r="K1177" s="88"/>
      <c r="L1177" s="89">
        <f t="shared" si="36"/>
        <v>5904</v>
      </c>
      <c r="M1177" s="87">
        <f t="shared" si="37"/>
        <v>5904</v>
      </c>
      <c r="N1177" s="89"/>
      <c r="O1177" s="89"/>
      <c r="P1177" s="48">
        <v>41225</v>
      </c>
      <c r="Q1177" s="68">
        <v>41345</v>
      </c>
      <c r="R1177" s="49">
        <v>12315</v>
      </c>
    </row>
    <row r="1178" spans="1:38" ht="38.25" x14ac:dyDescent="0.2">
      <c r="A1178" s="45" t="s">
        <v>3481</v>
      </c>
      <c r="B1178" s="45">
        <v>26229</v>
      </c>
      <c r="C1178" s="50" t="s">
        <v>3344</v>
      </c>
      <c r="D1178" s="50" t="s">
        <v>3482</v>
      </c>
      <c r="E1178" s="80" t="s">
        <v>21</v>
      </c>
      <c r="F1178" s="50" t="s">
        <v>121</v>
      </c>
      <c r="G1178" s="50" t="s">
        <v>3480</v>
      </c>
      <c r="H1178" s="88">
        <v>5904</v>
      </c>
      <c r="I1178" s="88"/>
      <c r="J1178" s="88"/>
      <c r="K1178" s="88"/>
      <c r="L1178" s="89">
        <f t="shared" si="36"/>
        <v>5904</v>
      </c>
      <c r="M1178" s="87">
        <f t="shared" si="37"/>
        <v>5904</v>
      </c>
      <c r="N1178" s="89"/>
      <c r="O1178" s="89"/>
      <c r="P1178" s="48">
        <v>41225</v>
      </c>
      <c r="Q1178" s="68">
        <v>41345</v>
      </c>
      <c r="R1178" s="49">
        <v>12262</v>
      </c>
    </row>
    <row r="1179" spans="1:38" ht="38.25" x14ac:dyDescent="0.2">
      <c r="A1179" s="45" t="s">
        <v>3483</v>
      </c>
      <c r="B1179" s="45">
        <v>26231</v>
      </c>
      <c r="C1179" s="50" t="s">
        <v>3344</v>
      </c>
      <c r="D1179" s="50" t="s">
        <v>3484</v>
      </c>
      <c r="E1179" s="80" t="s">
        <v>21</v>
      </c>
      <c r="F1179" s="50" t="s">
        <v>121</v>
      </c>
      <c r="G1179" s="50" t="s">
        <v>3480</v>
      </c>
      <c r="H1179" s="88">
        <v>5904</v>
      </c>
      <c r="I1179" s="88"/>
      <c r="J1179" s="88"/>
      <c r="K1179" s="88"/>
      <c r="L1179" s="89">
        <f t="shared" si="36"/>
        <v>5904</v>
      </c>
      <c r="M1179" s="87">
        <f t="shared" si="37"/>
        <v>5904</v>
      </c>
      <c r="N1179" s="89"/>
      <c r="O1179" s="89"/>
      <c r="P1179" s="48">
        <v>41225</v>
      </c>
      <c r="Q1179" s="68">
        <v>41345</v>
      </c>
      <c r="R1179" s="49">
        <v>12335</v>
      </c>
    </row>
    <row r="1180" spans="1:38" ht="38.25" x14ac:dyDescent="0.2">
      <c r="A1180" s="45" t="s">
        <v>3485</v>
      </c>
      <c r="B1180" s="45">
        <v>26261</v>
      </c>
      <c r="C1180" s="50" t="s">
        <v>3344</v>
      </c>
      <c r="D1180" s="50" t="s">
        <v>3486</v>
      </c>
      <c r="E1180" s="80" t="s">
        <v>21</v>
      </c>
      <c r="F1180" s="50" t="s">
        <v>45</v>
      </c>
      <c r="G1180" s="50" t="s">
        <v>3487</v>
      </c>
      <c r="H1180" s="88">
        <v>6000</v>
      </c>
      <c r="I1180" s="88"/>
      <c r="J1180" s="88"/>
      <c r="K1180" s="88"/>
      <c r="L1180" s="89">
        <f t="shared" si="36"/>
        <v>6000</v>
      </c>
      <c r="M1180" s="87">
        <f t="shared" si="37"/>
        <v>6000</v>
      </c>
      <c r="N1180" s="89"/>
      <c r="O1180" s="89"/>
      <c r="P1180" s="48">
        <v>41225</v>
      </c>
      <c r="Q1180" s="68">
        <v>41345</v>
      </c>
      <c r="R1180" s="49">
        <v>12336</v>
      </c>
    </row>
    <row r="1181" spans="1:38" s="44" customFormat="1" ht="51" x14ac:dyDescent="0.2">
      <c r="A1181" s="65" t="s">
        <v>3488</v>
      </c>
      <c r="B1181" s="65">
        <v>23687</v>
      </c>
      <c r="C1181" s="85" t="s">
        <v>3344</v>
      </c>
      <c r="D1181" s="85" t="s">
        <v>1076</v>
      </c>
      <c r="E1181" s="85" t="s">
        <v>21</v>
      </c>
      <c r="F1181" s="85" t="s">
        <v>22</v>
      </c>
      <c r="G1181" s="85" t="s">
        <v>3489</v>
      </c>
      <c r="H1181" s="95">
        <v>5346</v>
      </c>
      <c r="I1181" s="95"/>
      <c r="J1181" s="95"/>
      <c r="K1181" s="95"/>
      <c r="L1181" s="96">
        <f t="shared" si="36"/>
        <v>5346</v>
      </c>
      <c r="M1181" s="97"/>
      <c r="N1181" s="96"/>
      <c r="O1181" s="96"/>
      <c r="P1181" s="67" t="s">
        <v>3191</v>
      </c>
      <c r="Q1181" s="71" t="s">
        <v>3191</v>
      </c>
      <c r="R1181" s="66"/>
      <c r="S1181" s="43"/>
      <c r="T1181" s="43"/>
      <c r="U1181" s="43"/>
      <c r="V1181" s="43"/>
      <c r="W1181" s="43"/>
      <c r="X1181" s="43"/>
      <c r="Y1181" s="43"/>
      <c r="Z1181" s="43"/>
      <c r="AA1181" s="43"/>
      <c r="AB1181" s="43"/>
      <c r="AC1181" s="43"/>
      <c r="AD1181" s="43"/>
      <c r="AE1181" s="43"/>
      <c r="AF1181" s="43"/>
      <c r="AG1181" s="43"/>
      <c r="AH1181" s="43"/>
      <c r="AI1181" s="43"/>
      <c r="AJ1181" s="43"/>
      <c r="AK1181" s="43"/>
      <c r="AL1181" s="43"/>
    </row>
    <row r="1182" spans="1:38" ht="38.25" x14ac:dyDescent="0.2">
      <c r="A1182" s="45" t="s">
        <v>3490</v>
      </c>
      <c r="B1182" s="45">
        <v>26227</v>
      </c>
      <c r="C1182" s="50" t="s">
        <v>3344</v>
      </c>
      <c r="D1182" s="50" t="s">
        <v>3491</v>
      </c>
      <c r="E1182" s="80" t="s">
        <v>21</v>
      </c>
      <c r="F1182" s="50" t="s">
        <v>45</v>
      </c>
      <c r="G1182" s="50" t="s">
        <v>3480</v>
      </c>
      <c r="H1182" s="88">
        <v>4350</v>
      </c>
      <c r="I1182" s="88"/>
      <c r="J1182" s="88"/>
      <c r="K1182" s="88"/>
      <c r="L1182" s="89">
        <f t="shared" si="36"/>
        <v>4350</v>
      </c>
      <c r="M1182" s="87">
        <f t="shared" si="37"/>
        <v>4350</v>
      </c>
      <c r="N1182" s="89"/>
      <c r="O1182" s="89"/>
      <c r="P1182" s="48">
        <v>41225</v>
      </c>
      <c r="Q1182" s="68">
        <v>41345</v>
      </c>
      <c r="R1182" s="49">
        <v>12343</v>
      </c>
    </row>
    <row r="1183" spans="1:38" ht="38.25" x14ac:dyDescent="0.2">
      <c r="A1183" s="45" t="s">
        <v>3492</v>
      </c>
      <c r="B1183" s="45">
        <v>34361</v>
      </c>
      <c r="C1183" s="50" t="s">
        <v>3344</v>
      </c>
      <c r="D1183" s="50" t="s">
        <v>3493</v>
      </c>
      <c r="E1183" s="80" t="s">
        <v>2639</v>
      </c>
      <c r="F1183" s="50" t="s">
        <v>167</v>
      </c>
      <c r="G1183" s="50" t="s">
        <v>3494</v>
      </c>
      <c r="H1183" s="88">
        <v>4730</v>
      </c>
      <c r="I1183" s="88"/>
      <c r="J1183" s="89"/>
      <c r="K1183" s="89"/>
      <c r="L1183" s="89">
        <f t="shared" si="36"/>
        <v>4730</v>
      </c>
      <c r="M1183" s="87">
        <f t="shared" si="37"/>
        <v>4730</v>
      </c>
      <c r="N1183" s="89"/>
      <c r="O1183" s="89"/>
      <c r="P1183" s="48">
        <v>41225</v>
      </c>
      <c r="Q1183" s="68">
        <v>41406</v>
      </c>
      <c r="R1183" s="49">
        <v>12110</v>
      </c>
    </row>
    <row r="1184" spans="1:38" ht="58.9" customHeight="1" x14ac:dyDescent="0.2">
      <c r="A1184" s="45" t="s">
        <v>3495</v>
      </c>
      <c r="B1184" s="45">
        <v>34098</v>
      </c>
      <c r="C1184" s="50" t="s">
        <v>3344</v>
      </c>
      <c r="D1184" s="50" t="s">
        <v>747</v>
      </c>
      <c r="E1184" s="80" t="s">
        <v>3332</v>
      </c>
      <c r="F1184" s="50" t="s">
        <v>71</v>
      </c>
      <c r="G1184" s="50" t="s">
        <v>3496</v>
      </c>
      <c r="H1184" s="88"/>
      <c r="I1184" s="88"/>
      <c r="J1184" s="89"/>
      <c r="K1184" s="89">
        <v>199380</v>
      </c>
      <c r="L1184" s="89">
        <f t="shared" si="36"/>
        <v>199380</v>
      </c>
      <c r="M1184" s="87">
        <f t="shared" si="37"/>
        <v>199380</v>
      </c>
      <c r="N1184" s="89"/>
      <c r="O1184" s="89"/>
      <c r="P1184" s="48">
        <v>41225</v>
      </c>
      <c r="Q1184" s="68">
        <v>41590</v>
      </c>
      <c r="R1184" s="49">
        <v>12086</v>
      </c>
    </row>
    <row r="1185" spans="1:18" s="1" customFormat="1" ht="38.25" x14ac:dyDescent="0.2">
      <c r="A1185" s="45" t="s">
        <v>3497</v>
      </c>
      <c r="B1185" s="64">
        <v>34647</v>
      </c>
      <c r="C1185" s="50" t="s">
        <v>3344</v>
      </c>
      <c r="D1185" s="50" t="s">
        <v>3498</v>
      </c>
      <c r="E1185" s="80" t="s">
        <v>3351</v>
      </c>
      <c r="F1185" s="50" t="s">
        <v>63</v>
      </c>
      <c r="G1185" s="50" t="s">
        <v>3499</v>
      </c>
      <c r="H1185" s="88"/>
      <c r="I1185" s="88">
        <v>576000</v>
      </c>
      <c r="J1185" s="89"/>
      <c r="K1185" s="89"/>
      <c r="L1185" s="89">
        <f t="shared" si="36"/>
        <v>576000</v>
      </c>
      <c r="M1185" s="87">
        <f t="shared" si="37"/>
        <v>576000</v>
      </c>
      <c r="N1185" s="89"/>
      <c r="O1185" s="89"/>
      <c r="P1185" s="48">
        <v>41246</v>
      </c>
      <c r="Q1185" s="68">
        <v>41611</v>
      </c>
      <c r="R1185" s="49">
        <v>12597</v>
      </c>
    </row>
    <row r="1186" spans="1:18" s="1" customFormat="1" ht="51" x14ac:dyDescent="0.2">
      <c r="A1186" s="45" t="s">
        <v>3500</v>
      </c>
      <c r="B1186" s="45">
        <v>33134</v>
      </c>
      <c r="C1186" s="50" t="s">
        <v>507</v>
      </c>
      <c r="D1186" s="50" t="s">
        <v>508</v>
      </c>
      <c r="E1186" s="80" t="s">
        <v>3453</v>
      </c>
      <c r="F1186" s="50" t="s">
        <v>98</v>
      </c>
      <c r="G1186" s="50" t="s">
        <v>3501</v>
      </c>
      <c r="H1186" s="88">
        <f>1080+180+500+900</f>
        <v>2660</v>
      </c>
      <c r="I1186" s="88">
        <v>4800</v>
      </c>
      <c r="J1186" s="89"/>
      <c r="K1186" s="89">
        <f>1700+2000+5400</f>
        <v>9100</v>
      </c>
      <c r="L1186" s="89">
        <f t="shared" si="36"/>
        <v>16560</v>
      </c>
      <c r="M1186" s="87">
        <f t="shared" si="37"/>
        <v>16560</v>
      </c>
      <c r="N1186" s="89"/>
      <c r="O1186" s="89"/>
      <c r="P1186" s="48">
        <v>41242</v>
      </c>
      <c r="Q1186" s="68">
        <v>41972</v>
      </c>
      <c r="R1186" s="49">
        <v>12330</v>
      </c>
    </row>
    <row r="1187" spans="1:18" s="1" customFormat="1" ht="51" x14ac:dyDescent="0.2">
      <c r="A1187" s="45" t="s">
        <v>3502</v>
      </c>
      <c r="B1187" s="45">
        <v>34315</v>
      </c>
      <c r="C1187" s="50" t="s">
        <v>3262</v>
      </c>
      <c r="D1187" s="50" t="s">
        <v>320</v>
      </c>
      <c r="E1187" s="80" t="s">
        <v>3332</v>
      </c>
      <c r="F1187" s="50" t="s">
        <v>94</v>
      </c>
      <c r="G1187" s="50" t="s">
        <v>3503</v>
      </c>
      <c r="H1187" s="88"/>
      <c r="I1187" s="88"/>
      <c r="J1187" s="89"/>
      <c r="K1187" s="89">
        <v>180000</v>
      </c>
      <c r="L1187" s="89">
        <f t="shared" si="36"/>
        <v>180000</v>
      </c>
      <c r="M1187" s="87">
        <f t="shared" si="37"/>
        <v>180000</v>
      </c>
      <c r="N1187" s="89"/>
      <c r="O1187" s="89"/>
      <c r="P1187" s="48">
        <v>41330</v>
      </c>
      <c r="Q1187" s="68">
        <v>41695</v>
      </c>
      <c r="R1187" s="49">
        <v>15274</v>
      </c>
    </row>
    <row r="1188" spans="1:18" s="1" customFormat="1" ht="51" x14ac:dyDescent="0.2">
      <c r="A1188" s="45" t="s">
        <v>3504</v>
      </c>
      <c r="B1188" s="45">
        <v>34486</v>
      </c>
      <c r="C1188" s="50" t="s">
        <v>66</v>
      </c>
      <c r="D1188" s="50" t="s">
        <v>2571</v>
      </c>
      <c r="E1188" s="80" t="s">
        <v>2331</v>
      </c>
      <c r="F1188" s="50" t="s">
        <v>98</v>
      </c>
      <c r="G1188" s="50" t="s">
        <v>3505</v>
      </c>
      <c r="H1188" s="88"/>
      <c r="I1188" s="88">
        <v>39600</v>
      </c>
      <c r="J1188" s="89"/>
      <c r="K1188" s="89"/>
      <c r="L1188" s="89">
        <f t="shared" si="36"/>
        <v>39600</v>
      </c>
      <c r="M1188" s="87">
        <f t="shared" si="37"/>
        <v>39600</v>
      </c>
      <c r="N1188" s="89"/>
      <c r="O1188" s="89"/>
      <c r="P1188" s="48">
        <v>41225</v>
      </c>
      <c r="Q1188" s="68">
        <v>41590</v>
      </c>
      <c r="R1188" s="49">
        <v>12275</v>
      </c>
    </row>
    <row r="1189" spans="1:18" s="1" customFormat="1" ht="51" x14ac:dyDescent="0.2">
      <c r="A1189" s="45" t="s">
        <v>3506</v>
      </c>
      <c r="B1189" s="45">
        <v>34488</v>
      </c>
      <c r="C1189" s="50" t="s">
        <v>369</v>
      </c>
      <c r="D1189" s="50" t="s">
        <v>3507</v>
      </c>
      <c r="E1189" s="80" t="s">
        <v>2331</v>
      </c>
      <c r="F1189" s="50" t="s">
        <v>98</v>
      </c>
      <c r="G1189" s="50" t="s">
        <v>3508</v>
      </c>
      <c r="H1189" s="88"/>
      <c r="I1189" s="88">
        <v>39600</v>
      </c>
      <c r="J1189" s="89"/>
      <c r="K1189" s="89"/>
      <c r="L1189" s="89">
        <f t="shared" si="36"/>
        <v>39600</v>
      </c>
      <c r="M1189" s="87">
        <f t="shared" si="37"/>
        <v>39600</v>
      </c>
      <c r="N1189" s="89"/>
      <c r="O1189" s="89"/>
      <c r="P1189" s="48">
        <v>41225</v>
      </c>
      <c r="Q1189" s="68">
        <v>41590</v>
      </c>
      <c r="R1189" s="49">
        <v>12036</v>
      </c>
    </row>
    <row r="1190" spans="1:18" s="1" customFormat="1" ht="38.25" x14ac:dyDescent="0.2">
      <c r="A1190" s="45" t="s">
        <v>3509</v>
      </c>
      <c r="B1190" s="45">
        <v>34497</v>
      </c>
      <c r="C1190" s="50" t="s">
        <v>107</v>
      </c>
      <c r="D1190" s="50" t="s">
        <v>3510</v>
      </c>
      <c r="E1190" s="80" t="s">
        <v>2331</v>
      </c>
      <c r="F1190" s="50" t="s">
        <v>98</v>
      </c>
      <c r="G1190" s="50" t="s">
        <v>3511</v>
      </c>
      <c r="H1190" s="88"/>
      <c r="I1190" s="88">
        <v>39600</v>
      </c>
      <c r="J1190" s="89"/>
      <c r="K1190" s="89"/>
      <c r="L1190" s="89">
        <f t="shared" si="36"/>
        <v>39600</v>
      </c>
      <c r="M1190" s="87">
        <f t="shared" si="37"/>
        <v>39600</v>
      </c>
      <c r="N1190" s="89"/>
      <c r="O1190" s="89"/>
      <c r="P1190" s="48">
        <v>41236</v>
      </c>
      <c r="Q1190" s="68">
        <v>41601</v>
      </c>
      <c r="R1190" s="49">
        <v>12022</v>
      </c>
    </row>
    <row r="1191" spans="1:18" s="1" customFormat="1" ht="51" x14ac:dyDescent="0.2">
      <c r="A1191" s="45" t="s">
        <v>3512</v>
      </c>
      <c r="B1191" s="45">
        <v>34506</v>
      </c>
      <c r="C1191" s="50" t="s">
        <v>19</v>
      </c>
      <c r="D1191" s="50" t="s">
        <v>3513</v>
      </c>
      <c r="E1191" s="80" t="s">
        <v>2331</v>
      </c>
      <c r="F1191" s="50" t="s">
        <v>98</v>
      </c>
      <c r="G1191" s="50" t="s">
        <v>3514</v>
      </c>
      <c r="H1191" s="88"/>
      <c r="I1191" s="88">
        <v>39600</v>
      </c>
      <c r="J1191" s="89"/>
      <c r="K1191" s="89"/>
      <c r="L1191" s="89">
        <f t="shared" si="36"/>
        <v>39600</v>
      </c>
      <c r="M1191" s="87">
        <f t="shared" si="37"/>
        <v>39600</v>
      </c>
      <c r="N1191" s="89"/>
      <c r="O1191" s="89"/>
      <c r="P1191" s="48">
        <v>41236</v>
      </c>
      <c r="Q1191" s="68">
        <v>41601</v>
      </c>
      <c r="R1191" s="49">
        <v>12021</v>
      </c>
    </row>
    <row r="1192" spans="1:18" s="1" customFormat="1" ht="51" x14ac:dyDescent="0.2">
      <c r="A1192" s="45" t="s">
        <v>3515</v>
      </c>
      <c r="B1192" s="45">
        <v>34474</v>
      </c>
      <c r="C1192" s="50" t="s">
        <v>35</v>
      </c>
      <c r="D1192" s="50" t="s">
        <v>3516</v>
      </c>
      <c r="E1192" s="80" t="s">
        <v>2331</v>
      </c>
      <c r="F1192" s="50" t="s">
        <v>98</v>
      </c>
      <c r="G1192" s="50" t="s">
        <v>3517</v>
      </c>
      <c r="H1192" s="88"/>
      <c r="I1192" s="88">
        <v>39600</v>
      </c>
      <c r="J1192" s="89"/>
      <c r="K1192" s="89"/>
      <c r="L1192" s="89">
        <f t="shared" si="36"/>
        <v>39600</v>
      </c>
      <c r="M1192" s="87">
        <f t="shared" si="37"/>
        <v>39600</v>
      </c>
      <c r="N1192" s="89"/>
      <c r="O1192" s="89"/>
      <c r="P1192" s="48">
        <v>41232</v>
      </c>
      <c r="Q1192" s="68">
        <v>41597</v>
      </c>
      <c r="R1192" s="49">
        <v>12109</v>
      </c>
    </row>
    <row r="1193" spans="1:18" s="1" customFormat="1" ht="25.5" x14ac:dyDescent="0.2">
      <c r="A1193" s="45" t="s">
        <v>3518</v>
      </c>
      <c r="B1193" s="45">
        <v>34511</v>
      </c>
      <c r="C1193" s="50" t="s">
        <v>35</v>
      </c>
      <c r="D1193" s="50" t="s">
        <v>3519</v>
      </c>
      <c r="E1193" s="80" t="s">
        <v>2331</v>
      </c>
      <c r="F1193" s="50" t="s">
        <v>98</v>
      </c>
      <c r="G1193" s="50" t="s">
        <v>3520</v>
      </c>
      <c r="H1193" s="88"/>
      <c r="I1193" s="88">
        <v>36000</v>
      </c>
      <c r="J1193" s="89"/>
      <c r="K1193" s="89"/>
      <c r="L1193" s="89">
        <f t="shared" si="36"/>
        <v>36000</v>
      </c>
      <c r="M1193" s="87">
        <f t="shared" si="37"/>
        <v>36000</v>
      </c>
      <c r="N1193" s="89"/>
      <c r="O1193" s="89"/>
      <c r="P1193" s="48">
        <v>41306</v>
      </c>
      <c r="Q1193" s="68">
        <v>41671</v>
      </c>
      <c r="R1193" s="49">
        <v>13108</v>
      </c>
    </row>
    <row r="1194" spans="1:18" s="1" customFormat="1" ht="38.25" x14ac:dyDescent="0.2">
      <c r="A1194" s="45" t="s">
        <v>3521</v>
      </c>
      <c r="B1194" s="45">
        <v>33023</v>
      </c>
      <c r="C1194" s="50" t="s">
        <v>3522</v>
      </c>
      <c r="D1194" s="50" t="s">
        <v>3523</v>
      </c>
      <c r="E1194" s="50" t="s">
        <v>308</v>
      </c>
      <c r="F1194" s="50" t="s">
        <v>71</v>
      </c>
      <c r="G1194" s="50" t="s">
        <v>3524</v>
      </c>
      <c r="H1194" s="88">
        <v>12240</v>
      </c>
      <c r="I1194" s="88"/>
      <c r="J1194" s="89"/>
      <c r="K1194" s="89"/>
      <c r="L1194" s="89">
        <f t="shared" si="36"/>
        <v>12240</v>
      </c>
      <c r="M1194" s="87">
        <f t="shared" si="37"/>
        <v>12240</v>
      </c>
      <c r="N1194" s="89"/>
      <c r="O1194" s="89"/>
      <c r="P1194" s="48">
        <v>41227</v>
      </c>
      <c r="Q1194" s="68">
        <v>41408</v>
      </c>
      <c r="R1194" s="49">
        <v>12256</v>
      </c>
    </row>
    <row r="1195" spans="1:18" s="1" customFormat="1" ht="51" x14ac:dyDescent="0.2">
      <c r="A1195" s="45" t="s">
        <v>3525</v>
      </c>
      <c r="B1195" s="45">
        <v>33303</v>
      </c>
      <c r="C1195" s="50" t="s">
        <v>414</v>
      </c>
      <c r="D1195" s="50" t="s">
        <v>3526</v>
      </c>
      <c r="E1195" s="80" t="s">
        <v>3453</v>
      </c>
      <c r="F1195" s="50" t="s">
        <v>45</v>
      </c>
      <c r="G1195" s="50" t="s">
        <v>3527</v>
      </c>
      <c r="H1195" s="88">
        <f>920+1380+1000+500+150+210+800+500</f>
        <v>5460</v>
      </c>
      <c r="I1195" s="88">
        <v>4800</v>
      </c>
      <c r="J1195" s="89"/>
      <c r="K1195" s="89">
        <v>6900</v>
      </c>
      <c r="L1195" s="89">
        <f t="shared" si="36"/>
        <v>17160</v>
      </c>
      <c r="M1195" s="87">
        <f t="shared" si="37"/>
        <v>17160</v>
      </c>
      <c r="N1195" s="89"/>
      <c r="O1195" s="89"/>
      <c r="P1195" s="48">
        <v>41242</v>
      </c>
      <c r="Q1195" s="68">
        <v>41972</v>
      </c>
      <c r="R1195" s="49">
        <v>12334</v>
      </c>
    </row>
    <row r="1196" spans="1:18" s="1" customFormat="1" ht="76.5" x14ac:dyDescent="0.2">
      <c r="A1196" s="45" t="s">
        <v>3528</v>
      </c>
      <c r="B1196" s="45">
        <v>33292</v>
      </c>
      <c r="C1196" s="50" t="s">
        <v>574</v>
      </c>
      <c r="D1196" s="50" t="s">
        <v>575</v>
      </c>
      <c r="E1196" s="80" t="s">
        <v>3453</v>
      </c>
      <c r="F1196" s="50" t="s">
        <v>98</v>
      </c>
      <c r="G1196" s="50" t="s">
        <v>3529</v>
      </c>
      <c r="H1196" s="88">
        <f>2760+130+1800</f>
        <v>4690</v>
      </c>
      <c r="I1196" s="88">
        <v>4800</v>
      </c>
      <c r="J1196" s="89"/>
      <c r="K1196" s="89">
        <f>1800+2820+1400+1300+1800+1300</f>
        <v>10420</v>
      </c>
      <c r="L1196" s="89">
        <f t="shared" si="36"/>
        <v>19910</v>
      </c>
      <c r="M1196" s="87">
        <f t="shared" si="37"/>
        <v>19910</v>
      </c>
      <c r="N1196" s="89"/>
      <c r="O1196" s="89"/>
      <c r="P1196" s="48">
        <v>41242</v>
      </c>
      <c r="Q1196" s="68">
        <v>41972</v>
      </c>
      <c r="R1196" s="49">
        <v>12346</v>
      </c>
    </row>
    <row r="1197" spans="1:18" s="1" customFormat="1" ht="51" x14ac:dyDescent="0.2">
      <c r="A1197" s="45" t="s">
        <v>3530</v>
      </c>
      <c r="B1197" s="45">
        <v>33155</v>
      </c>
      <c r="C1197" s="50" t="s">
        <v>414</v>
      </c>
      <c r="D1197" s="50" t="s">
        <v>415</v>
      </c>
      <c r="E1197" s="80" t="s">
        <v>3453</v>
      </c>
      <c r="F1197" s="50" t="s">
        <v>98</v>
      </c>
      <c r="G1197" s="50" t="s">
        <v>3531</v>
      </c>
      <c r="H1197" s="88">
        <f>1080+1620+500+225+1200+1520</f>
        <v>6145</v>
      </c>
      <c r="I1197" s="88">
        <v>9600</v>
      </c>
      <c r="J1197" s="89"/>
      <c r="K1197" s="89">
        <f>1520+2000</f>
        <v>3520</v>
      </c>
      <c r="L1197" s="89">
        <f t="shared" si="36"/>
        <v>19265</v>
      </c>
      <c r="M1197" s="87">
        <f t="shared" si="37"/>
        <v>19265</v>
      </c>
      <c r="N1197" s="89"/>
      <c r="O1197" s="89"/>
      <c r="P1197" s="48">
        <v>41242</v>
      </c>
      <c r="Q1197" s="68">
        <v>42306</v>
      </c>
      <c r="R1197" s="49">
        <v>12331</v>
      </c>
    </row>
    <row r="1198" spans="1:18" s="1" customFormat="1" ht="51" x14ac:dyDescent="0.2">
      <c r="A1198" s="45" t="s">
        <v>3532</v>
      </c>
      <c r="B1198" s="45">
        <v>32805</v>
      </c>
      <c r="C1198" s="50" t="s">
        <v>507</v>
      </c>
      <c r="D1198" s="50" t="s">
        <v>3533</v>
      </c>
      <c r="E1198" s="80" t="s">
        <v>3453</v>
      </c>
      <c r="F1198" s="50" t="s">
        <v>98</v>
      </c>
      <c r="G1198" s="50" t="s">
        <v>3534</v>
      </c>
      <c r="H1198" s="88">
        <f>540+690+500+750+500+1000</f>
        <v>3980</v>
      </c>
      <c r="I1198" s="88"/>
      <c r="J1198" s="89"/>
      <c r="K1198" s="89">
        <f>1500+2000+2000+3000+5000</f>
        <v>13500</v>
      </c>
      <c r="L1198" s="89">
        <f t="shared" si="36"/>
        <v>17480</v>
      </c>
      <c r="M1198" s="87">
        <f t="shared" si="37"/>
        <v>17480</v>
      </c>
      <c r="N1198" s="89"/>
      <c r="O1198" s="89"/>
      <c r="P1198" s="48">
        <v>41242</v>
      </c>
      <c r="Q1198" s="68">
        <v>41972</v>
      </c>
      <c r="R1198" s="49">
        <v>12328</v>
      </c>
    </row>
    <row r="1199" spans="1:18" s="1" customFormat="1" ht="51" x14ac:dyDescent="0.2">
      <c r="A1199" s="45" t="s">
        <v>3535</v>
      </c>
      <c r="B1199" s="45">
        <v>33021</v>
      </c>
      <c r="C1199" s="50" t="s">
        <v>414</v>
      </c>
      <c r="D1199" s="50" t="s">
        <v>3536</v>
      </c>
      <c r="E1199" s="80" t="s">
        <v>3453</v>
      </c>
      <c r="F1199" s="50" t="s">
        <v>98</v>
      </c>
      <c r="G1199" s="50" t="s">
        <v>3537</v>
      </c>
      <c r="H1199" s="88">
        <f>2340+2100+1200</f>
        <v>5640</v>
      </c>
      <c r="I1199" s="88">
        <f>4800+4800</f>
        <v>9600</v>
      </c>
      <c r="J1199" s="89"/>
      <c r="K1199" s="89">
        <v>4000</v>
      </c>
      <c r="L1199" s="89">
        <f t="shared" si="36"/>
        <v>19240</v>
      </c>
      <c r="M1199" s="87">
        <f t="shared" si="37"/>
        <v>19240</v>
      </c>
      <c r="N1199" s="89"/>
      <c r="O1199" s="89"/>
      <c r="P1199" s="48">
        <v>41246</v>
      </c>
      <c r="Q1199" s="68">
        <v>42646</v>
      </c>
      <c r="R1199" s="49">
        <v>12341</v>
      </c>
    </row>
    <row r="1200" spans="1:18" s="1" customFormat="1" ht="51" x14ac:dyDescent="0.2">
      <c r="A1200" s="45" t="s">
        <v>3538</v>
      </c>
      <c r="B1200" s="45">
        <v>33274</v>
      </c>
      <c r="C1200" s="50" t="s">
        <v>1404</v>
      </c>
      <c r="D1200" s="50" t="s">
        <v>2018</v>
      </c>
      <c r="E1200" s="80" t="s">
        <v>3453</v>
      </c>
      <c r="F1200" s="50" t="s">
        <v>87</v>
      </c>
      <c r="G1200" s="50" t="s">
        <v>3539</v>
      </c>
      <c r="H1200" s="88">
        <f>540+460+230+120+400+200+1000+1500+1500+1500+1200+680+1200</f>
        <v>10530</v>
      </c>
      <c r="I1200" s="88">
        <v>4800</v>
      </c>
      <c r="J1200" s="89"/>
      <c r="K1200" s="89">
        <f>600+2320+500+400+720</f>
        <v>4540</v>
      </c>
      <c r="L1200" s="89">
        <f t="shared" si="36"/>
        <v>19870</v>
      </c>
      <c r="M1200" s="87">
        <f t="shared" si="37"/>
        <v>19870</v>
      </c>
      <c r="N1200" s="89"/>
      <c r="O1200" s="89"/>
      <c r="P1200" s="48">
        <v>41246</v>
      </c>
      <c r="Q1200" s="68">
        <v>41793</v>
      </c>
      <c r="R1200" s="49">
        <v>12326</v>
      </c>
    </row>
    <row r="1201" spans="1:18" s="1" customFormat="1" ht="51" x14ac:dyDescent="0.2">
      <c r="A1201" s="45" t="s">
        <v>3540</v>
      </c>
      <c r="B1201" s="45">
        <v>33195</v>
      </c>
      <c r="C1201" s="50" t="s">
        <v>3312</v>
      </c>
      <c r="D1201" s="50" t="s">
        <v>3541</v>
      </c>
      <c r="E1201" s="80" t="s">
        <v>3453</v>
      </c>
      <c r="F1201" s="50" t="s">
        <v>87</v>
      </c>
      <c r="G1201" s="50" t="s">
        <v>3542</v>
      </c>
      <c r="H1201" s="88">
        <f>4680</f>
        <v>4680</v>
      </c>
      <c r="I1201" s="88">
        <v>9600</v>
      </c>
      <c r="J1201" s="89"/>
      <c r="K1201" s="89">
        <v>4380</v>
      </c>
      <c r="L1201" s="89">
        <f t="shared" si="36"/>
        <v>18660</v>
      </c>
      <c r="M1201" s="87">
        <f t="shared" si="37"/>
        <v>18660</v>
      </c>
      <c r="N1201" s="89"/>
      <c r="O1201" s="89"/>
      <c r="P1201" s="48">
        <v>41242</v>
      </c>
      <c r="Q1201" s="68">
        <v>41607</v>
      </c>
      <c r="R1201" s="49">
        <v>12323</v>
      </c>
    </row>
    <row r="1202" spans="1:18" s="1" customFormat="1" ht="51" x14ac:dyDescent="0.2">
      <c r="A1202" s="45" t="s">
        <v>3543</v>
      </c>
      <c r="B1202" s="45">
        <v>33380</v>
      </c>
      <c r="C1202" s="50" t="s">
        <v>2690</v>
      </c>
      <c r="D1202" s="50" t="s">
        <v>3544</v>
      </c>
      <c r="E1202" s="80" t="s">
        <v>3453</v>
      </c>
      <c r="F1202" s="50" t="s">
        <v>87</v>
      </c>
      <c r="G1202" s="50" t="s">
        <v>3545</v>
      </c>
      <c r="H1202" s="88">
        <f>80+60+150+65+180+4500+1800+210+900+90+650+275+180+500</f>
        <v>9640</v>
      </c>
      <c r="I1202" s="88">
        <v>9600</v>
      </c>
      <c r="J1202" s="89"/>
      <c r="K1202" s="89"/>
      <c r="L1202" s="89">
        <f t="shared" si="36"/>
        <v>19240</v>
      </c>
      <c r="M1202" s="87">
        <f t="shared" si="37"/>
        <v>19240</v>
      </c>
      <c r="N1202" s="89"/>
      <c r="O1202" s="89"/>
      <c r="P1202" s="48">
        <v>41242</v>
      </c>
      <c r="Q1202" s="68">
        <v>41972</v>
      </c>
      <c r="R1202" s="49">
        <v>12324</v>
      </c>
    </row>
    <row r="1203" spans="1:18" s="1" customFormat="1" ht="51" x14ac:dyDescent="0.2">
      <c r="A1203" s="45" t="s">
        <v>3546</v>
      </c>
      <c r="B1203" s="45">
        <v>32887</v>
      </c>
      <c r="C1203" s="50" t="s">
        <v>414</v>
      </c>
      <c r="D1203" s="50" t="s">
        <v>3547</v>
      </c>
      <c r="E1203" s="80" t="s">
        <v>3453</v>
      </c>
      <c r="F1203" s="50" t="s">
        <v>45</v>
      </c>
      <c r="G1203" s="50" t="s">
        <v>3548</v>
      </c>
      <c r="H1203" s="88">
        <f>3910+45+1600</f>
        <v>5555</v>
      </c>
      <c r="I1203" s="88"/>
      <c r="J1203" s="89"/>
      <c r="K1203" s="89">
        <f>3500+1200+7400</f>
        <v>12100</v>
      </c>
      <c r="L1203" s="89">
        <f t="shared" si="36"/>
        <v>17655</v>
      </c>
      <c r="M1203" s="87">
        <f t="shared" si="37"/>
        <v>17655</v>
      </c>
      <c r="N1203" s="89"/>
      <c r="O1203" s="89"/>
      <c r="P1203" s="48">
        <v>41242</v>
      </c>
      <c r="Q1203" s="68">
        <v>41972</v>
      </c>
      <c r="R1203" s="49">
        <v>12342</v>
      </c>
    </row>
    <row r="1204" spans="1:18" s="1" customFormat="1" ht="51" x14ac:dyDescent="0.2">
      <c r="A1204" s="45" t="s">
        <v>3549</v>
      </c>
      <c r="B1204" s="45">
        <v>33394</v>
      </c>
      <c r="C1204" s="50" t="s">
        <v>534</v>
      </c>
      <c r="D1204" s="50" t="s">
        <v>3550</v>
      </c>
      <c r="E1204" s="80" t="s">
        <v>3453</v>
      </c>
      <c r="F1204" s="50" t="s">
        <v>45</v>
      </c>
      <c r="G1204" s="50" t="s">
        <v>3551</v>
      </c>
      <c r="H1204" s="88">
        <f>3220+680+7520+3772</f>
        <v>15192</v>
      </c>
      <c r="I1204" s="88">
        <v>4800</v>
      </c>
      <c r="J1204" s="89"/>
      <c r="K1204" s="89"/>
      <c r="L1204" s="89">
        <f t="shared" si="36"/>
        <v>19992</v>
      </c>
      <c r="M1204" s="87">
        <f t="shared" si="37"/>
        <v>19992</v>
      </c>
      <c r="N1204" s="89"/>
      <c r="O1204" s="89"/>
      <c r="P1204" s="48">
        <v>41234</v>
      </c>
      <c r="Q1204" s="68">
        <v>42237</v>
      </c>
      <c r="R1204" s="49">
        <v>12027</v>
      </c>
    </row>
    <row r="1205" spans="1:18" s="1" customFormat="1" ht="51" x14ac:dyDescent="0.2">
      <c r="A1205" s="45" t="s">
        <v>3552</v>
      </c>
      <c r="B1205" s="45">
        <v>33381</v>
      </c>
      <c r="C1205" s="50" t="s">
        <v>574</v>
      </c>
      <c r="D1205" s="50" t="s">
        <v>2012</v>
      </c>
      <c r="E1205" s="80" t="s">
        <v>3453</v>
      </c>
      <c r="F1205" s="50" t="s">
        <v>45</v>
      </c>
      <c r="G1205" s="50" t="s">
        <v>3553</v>
      </c>
      <c r="H1205" s="88"/>
      <c r="I1205" s="88"/>
      <c r="J1205" s="89"/>
      <c r="K1205" s="89">
        <v>20000</v>
      </c>
      <c r="L1205" s="89">
        <f t="shared" si="36"/>
        <v>20000</v>
      </c>
      <c r="M1205" s="87">
        <f t="shared" si="37"/>
        <v>20000</v>
      </c>
      <c r="N1205" s="89"/>
      <c r="O1205" s="89"/>
      <c r="P1205" s="48">
        <v>41242</v>
      </c>
      <c r="Q1205" s="68">
        <v>41517</v>
      </c>
      <c r="R1205" s="49">
        <v>12349</v>
      </c>
    </row>
    <row r="1206" spans="1:18" s="1" customFormat="1" ht="51" x14ac:dyDescent="0.2">
      <c r="A1206" s="45" t="s">
        <v>3554</v>
      </c>
      <c r="B1206" s="45">
        <v>33209</v>
      </c>
      <c r="C1206" s="50" t="s">
        <v>507</v>
      </c>
      <c r="D1206" s="50" t="s">
        <v>3555</v>
      </c>
      <c r="E1206" s="80" t="s">
        <v>3453</v>
      </c>
      <c r="F1206" s="50" t="s">
        <v>398</v>
      </c>
      <c r="G1206" s="50" t="s">
        <v>3556</v>
      </c>
      <c r="H1206" s="88">
        <v>7540</v>
      </c>
      <c r="I1206" s="88">
        <v>9600</v>
      </c>
      <c r="J1206" s="89"/>
      <c r="K1206" s="89"/>
      <c r="L1206" s="89">
        <f t="shared" si="36"/>
        <v>17140</v>
      </c>
      <c r="M1206" s="87">
        <f t="shared" si="37"/>
        <v>17140</v>
      </c>
      <c r="N1206" s="89"/>
      <c r="O1206" s="89"/>
      <c r="P1206" s="48">
        <v>41242</v>
      </c>
      <c r="Q1206" s="68">
        <v>42064</v>
      </c>
      <c r="R1206" s="49">
        <v>12329</v>
      </c>
    </row>
    <row r="1207" spans="1:18" s="1" customFormat="1" ht="51" x14ac:dyDescent="0.2">
      <c r="A1207" s="45" t="s">
        <v>3557</v>
      </c>
      <c r="B1207" s="45">
        <v>32699</v>
      </c>
      <c r="C1207" s="50" t="s">
        <v>507</v>
      </c>
      <c r="D1207" s="50" t="s">
        <v>3558</v>
      </c>
      <c r="E1207" s="80" t="s">
        <v>3453</v>
      </c>
      <c r="F1207" s="50" t="s">
        <v>98</v>
      </c>
      <c r="G1207" s="50" t="s">
        <v>3559</v>
      </c>
      <c r="H1207" s="88">
        <f>360+460+460+180+360+230+200+240+40+75+250+750+500+250+1200</f>
        <v>5555</v>
      </c>
      <c r="I1207" s="88"/>
      <c r="J1207" s="89"/>
      <c r="K1207" s="89">
        <f>500+360+3000+5000+2500</f>
        <v>11360</v>
      </c>
      <c r="L1207" s="89">
        <f t="shared" si="36"/>
        <v>16915</v>
      </c>
      <c r="M1207" s="87">
        <f t="shared" si="37"/>
        <v>16915</v>
      </c>
      <c r="N1207" s="89"/>
      <c r="O1207" s="89"/>
      <c r="P1207" s="48">
        <v>41242</v>
      </c>
      <c r="Q1207" s="68">
        <v>41972</v>
      </c>
      <c r="R1207" s="49">
        <v>12350</v>
      </c>
    </row>
    <row r="1208" spans="1:18" s="1" customFormat="1" ht="51" x14ac:dyDescent="0.2">
      <c r="A1208" s="45" t="s">
        <v>3560</v>
      </c>
      <c r="B1208" s="45">
        <v>33291</v>
      </c>
      <c r="C1208" s="50" t="s">
        <v>574</v>
      </c>
      <c r="D1208" s="50" t="s">
        <v>3561</v>
      </c>
      <c r="E1208" s="80" t="s">
        <v>3453</v>
      </c>
      <c r="F1208" s="50" t="s">
        <v>98</v>
      </c>
      <c r="G1208" s="50" t="s">
        <v>3562</v>
      </c>
      <c r="H1208" s="88">
        <f>1150+1150+1000+1190+440+600+600+5000+900+696</f>
        <v>12726</v>
      </c>
      <c r="I1208" s="88"/>
      <c r="J1208" s="89"/>
      <c r="K1208" s="89">
        <f>500+250+250+250+3200+350+160+800+1500</f>
        <v>7260</v>
      </c>
      <c r="L1208" s="89">
        <f t="shared" si="36"/>
        <v>19986</v>
      </c>
      <c r="M1208" s="87">
        <f t="shared" si="37"/>
        <v>19986</v>
      </c>
      <c r="N1208" s="89"/>
      <c r="O1208" s="89"/>
      <c r="P1208" s="48">
        <v>41242</v>
      </c>
      <c r="Q1208" s="68">
        <v>42428</v>
      </c>
      <c r="R1208" s="49">
        <v>12351</v>
      </c>
    </row>
    <row r="1209" spans="1:18" s="1" customFormat="1" ht="63.75" x14ac:dyDescent="0.2">
      <c r="A1209" s="45" t="s">
        <v>3563</v>
      </c>
      <c r="B1209" s="45">
        <v>33088</v>
      </c>
      <c r="C1209" s="50" t="s">
        <v>414</v>
      </c>
      <c r="D1209" s="50" t="s">
        <v>3564</v>
      </c>
      <c r="E1209" s="80" t="s">
        <v>3453</v>
      </c>
      <c r="F1209" s="50" t="s">
        <v>98</v>
      </c>
      <c r="G1209" s="50" t="s">
        <v>3565</v>
      </c>
      <c r="H1209" s="88">
        <f>1980+700</f>
        <v>2680</v>
      </c>
      <c r="I1209" s="88">
        <v>4800</v>
      </c>
      <c r="J1209" s="89"/>
      <c r="K1209" s="89">
        <f>2380+360+1570+3900+4240</f>
        <v>12450</v>
      </c>
      <c r="L1209" s="89">
        <f t="shared" si="36"/>
        <v>19930</v>
      </c>
      <c r="M1209" s="87">
        <f t="shared" si="37"/>
        <v>19930</v>
      </c>
      <c r="N1209" s="89"/>
      <c r="O1209" s="89"/>
      <c r="P1209" s="48">
        <v>41242</v>
      </c>
      <c r="Q1209" s="68">
        <v>41972</v>
      </c>
      <c r="R1209" s="49">
        <v>12352</v>
      </c>
    </row>
    <row r="1210" spans="1:18" s="1" customFormat="1" ht="51" x14ac:dyDescent="0.2">
      <c r="A1210" s="45" t="s">
        <v>3566</v>
      </c>
      <c r="B1210" s="45">
        <v>33145</v>
      </c>
      <c r="C1210" s="50" t="s">
        <v>1404</v>
      </c>
      <c r="D1210" s="50" t="s">
        <v>1405</v>
      </c>
      <c r="E1210" s="80" t="s">
        <v>3453</v>
      </c>
      <c r="F1210" s="50" t="s">
        <v>98</v>
      </c>
      <c r="G1210" s="50" t="s">
        <v>3567</v>
      </c>
      <c r="H1210" s="88">
        <f>120</f>
        <v>120</v>
      </c>
      <c r="I1210" s="88">
        <v>9600</v>
      </c>
      <c r="J1210" s="89"/>
      <c r="K1210" s="89">
        <f>13240-9720</f>
        <v>3520</v>
      </c>
      <c r="L1210" s="89">
        <f t="shared" si="36"/>
        <v>13240</v>
      </c>
      <c r="M1210" s="87">
        <f t="shared" si="37"/>
        <v>13240</v>
      </c>
      <c r="N1210" s="89"/>
      <c r="O1210" s="89"/>
      <c r="P1210" s="48">
        <v>41246</v>
      </c>
      <c r="Q1210" s="68">
        <v>41976</v>
      </c>
      <c r="R1210" s="49">
        <v>12353</v>
      </c>
    </row>
    <row r="1211" spans="1:18" s="1" customFormat="1" ht="51" x14ac:dyDescent="0.2">
      <c r="A1211" s="45" t="s">
        <v>3568</v>
      </c>
      <c r="B1211" s="45">
        <v>32860</v>
      </c>
      <c r="C1211" s="50" t="s">
        <v>414</v>
      </c>
      <c r="D1211" s="50" t="s">
        <v>2241</v>
      </c>
      <c r="E1211" s="80" t="s">
        <v>3453</v>
      </c>
      <c r="F1211" s="50" t="s">
        <v>98</v>
      </c>
      <c r="G1211" s="50" t="s">
        <v>3569</v>
      </c>
      <c r="H1211" s="88">
        <f>6330+1150</f>
        <v>7480</v>
      </c>
      <c r="I1211" s="88"/>
      <c r="J1211" s="89"/>
      <c r="K1211" s="89">
        <f>12520-2000</f>
        <v>10520</v>
      </c>
      <c r="L1211" s="89">
        <f t="shared" si="36"/>
        <v>18000</v>
      </c>
      <c r="M1211" s="87">
        <f t="shared" si="37"/>
        <v>18000</v>
      </c>
      <c r="N1211" s="89"/>
      <c r="O1211" s="89"/>
      <c r="P1211" s="48">
        <v>41242</v>
      </c>
      <c r="Q1211" s="68">
        <v>42794</v>
      </c>
      <c r="R1211" s="49">
        <v>12355</v>
      </c>
    </row>
    <row r="1212" spans="1:18" s="1" customFormat="1" ht="51" x14ac:dyDescent="0.2">
      <c r="A1212" s="45" t="s">
        <v>3570</v>
      </c>
      <c r="B1212" s="45">
        <v>33190</v>
      </c>
      <c r="C1212" s="50" t="s">
        <v>1991</v>
      </c>
      <c r="D1212" s="50" t="s">
        <v>1995</v>
      </c>
      <c r="E1212" s="80" t="s">
        <v>3453</v>
      </c>
      <c r="F1212" s="50" t="s">
        <v>98</v>
      </c>
      <c r="G1212" s="50" t="s">
        <v>3571</v>
      </c>
      <c r="H1212" s="88">
        <f>1400+1600</f>
        <v>3000</v>
      </c>
      <c r="I1212" s="88">
        <v>4800</v>
      </c>
      <c r="J1212" s="89"/>
      <c r="K1212" s="89">
        <f>7500+1400+3300</f>
        <v>12200</v>
      </c>
      <c r="L1212" s="89">
        <f t="shared" si="36"/>
        <v>20000</v>
      </c>
      <c r="M1212" s="87">
        <f t="shared" si="37"/>
        <v>20000</v>
      </c>
      <c r="N1212" s="89"/>
      <c r="O1212" s="89"/>
      <c r="P1212" s="48">
        <v>41309</v>
      </c>
      <c r="Q1212" s="68">
        <v>42428</v>
      </c>
      <c r="R1212" s="49">
        <v>12991</v>
      </c>
    </row>
    <row r="1213" spans="1:18" s="1" customFormat="1" ht="51" x14ac:dyDescent="0.2">
      <c r="A1213" s="45" t="s">
        <v>3572</v>
      </c>
      <c r="B1213" s="64">
        <v>33194</v>
      </c>
      <c r="C1213" s="50" t="s">
        <v>507</v>
      </c>
      <c r="D1213" s="50" t="s">
        <v>1148</v>
      </c>
      <c r="E1213" s="80" t="s">
        <v>3453</v>
      </c>
      <c r="F1213" s="50" t="s">
        <v>94</v>
      </c>
      <c r="G1213" s="50" t="s">
        <v>3573</v>
      </c>
      <c r="H1213" s="88">
        <f>18195.04</f>
        <v>18195.04</v>
      </c>
      <c r="I1213" s="88"/>
      <c r="J1213" s="89"/>
      <c r="K1213" s="89">
        <v>1800</v>
      </c>
      <c r="L1213" s="89">
        <f t="shared" si="36"/>
        <v>19995.04</v>
      </c>
      <c r="M1213" s="87">
        <f t="shared" si="37"/>
        <v>19995.04</v>
      </c>
      <c r="N1213" s="89"/>
      <c r="O1213" s="89"/>
      <c r="P1213" s="48">
        <v>41242</v>
      </c>
      <c r="Q1213" s="68">
        <v>42458</v>
      </c>
      <c r="R1213" s="49">
        <v>12356</v>
      </c>
    </row>
    <row r="1214" spans="1:18" s="1" customFormat="1" ht="51" x14ac:dyDescent="0.2">
      <c r="A1214" s="45" t="s">
        <v>3574</v>
      </c>
      <c r="B1214" s="45">
        <v>33277</v>
      </c>
      <c r="C1214" s="50" t="s">
        <v>1991</v>
      </c>
      <c r="D1214" s="50" t="s">
        <v>3575</v>
      </c>
      <c r="E1214" s="80" t="s">
        <v>3453</v>
      </c>
      <c r="F1214" s="50" t="s">
        <v>94</v>
      </c>
      <c r="G1214" s="50" t="s">
        <v>3576</v>
      </c>
      <c r="H1214" s="88">
        <v>3920</v>
      </c>
      <c r="I1214" s="88">
        <v>4800</v>
      </c>
      <c r="J1214" s="89"/>
      <c r="K1214" s="89">
        <f>1300+300+440+5195.8+1331.69+2376</f>
        <v>10943.49</v>
      </c>
      <c r="L1214" s="89">
        <f t="shared" si="36"/>
        <v>19663.489999999998</v>
      </c>
      <c r="M1214" s="87">
        <f t="shared" si="37"/>
        <v>19663.489999999998</v>
      </c>
      <c r="N1214" s="89"/>
      <c r="O1214" s="89"/>
      <c r="P1214" s="48">
        <v>41309</v>
      </c>
      <c r="Q1214" s="68">
        <v>42039</v>
      </c>
      <c r="R1214" s="49">
        <v>12994</v>
      </c>
    </row>
    <row r="1215" spans="1:18" s="1" customFormat="1" ht="51" x14ac:dyDescent="0.2">
      <c r="A1215" s="45" t="s">
        <v>3577</v>
      </c>
      <c r="B1215" s="45">
        <v>33278</v>
      </c>
      <c r="C1215" s="50" t="s">
        <v>1135</v>
      </c>
      <c r="D1215" s="50" t="s">
        <v>3578</v>
      </c>
      <c r="E1215" s="80" t="s">
        <v>3453</v>
      </c>
      <c r="F1215" s="50" t="s">
        <v>94</v>
      </c>
      <c r="G1215" s="50" t="s">
        <v>3579</v>
      </c>
      <c r="H1215" s="88">
        <f>4800+5600</f>
        <v>10400</v>
      </c>
      <c r="I1215" s="88"/>
      <c r="J1215" s="89"/>
      <c r="K1215" s="89">
        <v>6873</v>
      </c>
      <c r="L1215" s="89">
        <f t="shared" si="36"/>
        <v>17273</v>
      </c>
      <c r="M1215" s="87">
        <f t="shared" si="37"/>
        <v>17273</v>
      </c>
      <c r="N1215" s="89"/>
      <c r="O1215" s="89"/>
      <c r="P1215" s="48">
        <v>41242</v>
      </c>
      <c r="Q1215" s="68">
        <v>41972</v>
      </c>
      <c r="R1215" s="49">
        <v>12327</v>
      </c>
    </row>
    <row r="1216" spans="1:18" s="1" customFormat="1" ht="51" x14ac:dyDescent="0.2">
      <c r="A1216" s="45" t="s">
        <v>3580</v>
      </c>
      <c r="B1216" s="45">
        <v>33258</v>
      </c>
      <c r="C1216" s="50" t="s">
        <v>1404</v>
      </c>
      <c r="D1216" s="50" t="s">
        <v>3581</v>
      </c>
      <c r="E1216" s="80" t="s">
        <v>3453</v>
      </c>
      <c r="F1216" s="50" t="s">
        <v>94</v>
      </c>
      <c r="G1216" s="50" t="s">
        <v>3582</v>
      </c>
      <c r="H1216" s="88">
        <v>630</v>
      </c>
      <c r="I1216" s="88"/>
      <c r="J1216" s="89"/>
      <c r="K1216" s="89">
        <v>19370</v>
      </c>
      <c r="L1216" s="89">
        <f t="shared" si="36"/>
        <v>20000</v>
      </c>
      <c r="M1216" s="87">
        <f t="shared" si="37"/>
        <v>20000</v>
      </c>
      <c r="N1216" s="89"/>
      <c r="O1216" s="89"/>
      <c r="P1216" s="48">
        <v>41246</v>
      </c>
      <c r="Q1216" s="68">
        <v>41976</v>
      </c>
      <c r="R1216" s="49">
        <v>12345</v>
      </c>
    </row>
    <row r="1217" spans="1:18" s="1" customFormat="1" ht="51" x14ac:dyDescent="0.2">
      <c r="A1217" s="45" t="s">
        <v>3583</v>
      </c>
      <c r="B1217" s="45">
        <v>32819</v>
      </c>
      <c r="C1217" s="50" t="s">
        <v>1599</v>
      </c>
      <c r="D1217" s="50" t="s">
        <v>3584</v>
      </c>
      <c r="E1217" s="80" t="s">
        <v>3453</v>
      </c>
      <c r="F1217" s="50" t="s">
        <v>94</v>
      </c>
      <c r="G1217" s="50" t="s">
        <v>3585</v>
      </c>
      <c r="H1217" s="88">
        <v>1616</v>
      </c>
      <c r="I1217" s="88"/>
      <c r="J1217" s="89"/>
      <c r="K1217" s="89">
        <v>18200</v>
      </c>
      <c r="L1217" s="89">
        <f t="shared" si="36"/>
        <v>19816</v>
      </c>
      <c r="M1217" s="87">
        <f t="shared" si="37"/>
        <v>19816</v>
      </c>
      <c r="N1217" s="89"/>
      <c r="O1217" s="89"/>
      <c r="P1217" s="48">
        <v>41236</v>
      </c>
      <c r="Q1217" s="68">
        <v>42878</v>
      </c>
      <c r="R1217" s="49">
        <v>12005</v>
      </c>
    </row>
    <row r="1218" spans="1:18" s="1" customFormat="1" ht="51" x14ac:dyDescent="0.2">
      <c r="A1218" s="45" t="s">
        <v>3586</v>
      </c>
      <c r="B1218" s="45">
        <v>33284</v>
      </c>
      <c r="C1218" s="50" t="s">
        <v>1404</v>
      </c>
      <c r="D1218" s="50" t="s">
        <v>3587</v>
      </c>
      <c r="E1218" s="80" t="s">
        <v>3453</v>
      </c>
      <c r="F1218" s="50" t="s">
        <v>94</v>
      </c>
      <c r="G1218" s="50" t="s">
        <v>3588</v>
      </c>
      <c r="H1218" s="88">
        <f>2300+6404.5+1980+3600</f>
        <v>14284.5</v>
      </c>
      <c r="I1218" s="88"/>
      <c r="J1218" s="89"/>
      <c r="K1218" s="89">
        <v>5653</v>
      </c>
      <c r="L1218" s="89">
        <f t="shared" si="36"/>
        <v>19937.5</v>
      </c>
      <c r="M1218" s="87">
        <f t="shared" si="37"/>
        <v>19937.5</v>
      </c>
      <c r="N1218" s="89"/>
      <c r="O1218" s="89"/>
      <c r="P1218" s="48">
        <v>41246</v>
      </c>
      <c r="Q1218" s="68">
        <v>41976</v>
      </c>
      <c r="R1218" s="49">
        <v>12359</v>
      </c>
    </row>
    <row r="1219" spans="1:18" s="1" customFormat="1" ht="51" x14ac:dyDescent="0.2">
      <c r="A1219" s="45" t="s">
        <v>3589</v>
      </c>
      <c r="B1219" s="45">
        <v>33247</v>
      </c>
      <c r="C1219" s="50" t="s">
        <v>1135</v>
      </c>
      <c r="D1219" s="50" t="s">
        <v>3590</v>
      </c>
      <c r="E1219" s="80" t="s">
        <v>3453</v>
      </c>
      <c r="F1219" s="50" t="s">
        <v>94</v>
      </c>
      <c r="G1219" s="50" t="s">
        <v>3591</v>
      </c>
      <c r="H1219" s="88">
        <f>1835+300+450+300+80+120</f>
        <v>3085</v>
      </c>
      <c r="I1219" s="88"/>
      <c r="J1219" s="89"/>
      <c r="K1219" s="89">
        <f>17750-1250</f>
        <v>16500</v>
      </c>
      <c r="L1219" s="89">
        <f t="shared" si="36"/>
        <v>19585</v>
      </c>
      <c r="M1219" s="87">
        <f t="shared" si="37"/>
        <v>19585</v>
      </c>
      <c r="N1219" s="89"/>
      <c r="O1219" s="89"/>
      <c r="P1219" s="48">
        <v>41607</v>
      </c>
      <c r="Q1219" s="68">
        <v>41972</v>
      </c>
      <c r="R1219" s="49">
        <v>12358</v>
      </c>
    </row>
    <row r="1220" spans="1:18" s="1" customFormat="1" ht="51" x14ac:dyDescent="0.2">
      <c r="A1220" s="45" t="s">
        <v>3592</v>
      </c>
      <c r="B1220" s="45">
        <v>32753</v>
      </c>
      <c r="C1220" s="50" t="s">
        <v>1991</v>
      </c>
      <c r="D1220" s="50" t="s">
        <v>2265</v>
      </c>
      <c r="E1220" s="80" t="s">
        <v>3453</v>
      </c>
      <c r="F1220" s="50" t="s">
        <v>94</v>
      </c>
      <c r="G1220" s="50" t="s">
        <v>3593</v>
      </c>
      <c r="H1220" s="88">
        <v>16430</v>
      </c>
      <c r="I1220" s="88"/>
      <c r="J1220" s="89"/>
      <c r="K1220" s="89">
        <f>1800+1370+220</f>
        <v>3390</v>
      </c>
      <c r="L1220" s="89">
        <f t="shared" si="36"/>
        <v>19820</v>
      </c>
      <c r="M1220" s="87">
        <f t="shared" si="37"/>
        <v>19820</v>
      </c>
      <c r="N1220" s="89"/>
      <c r="O1220" s="89"/>
      <c r="P1220" s="48">
        <v>41309</v>
      </c>
      <c r="Q1220" s="68">
        <v>42342</v>
      </c>
      <c r="R1220" s="49">
        <v>13004</v>
      </c>
    </row>
    <row r="1221" spans="1:18" s="1" customFormat="1" ht="51" x14ac:dyDescent="0.2">
      <c r="A1221" s="45" t="s">
        <v>3594</v>
      </c>
      <c r="B1221" s="45">
        <v>33149</v>
      </c>
      <c r="C1221" s="50" t="s">
        <v>1991</v>
      </c>
      <c r="D1221" s="50" t="s">
        <v>3595</v>
      </c>
      <c r="E1221" s="80" t="s">
        <v>3453</v>
      </c>
      <c r="F1221" s="50" t="s">
        <v>94</v>
      </c>
      <c r="G1221" s="50" t="s">
        <v>3596</v>
      </c>
      <c r="H1221" s="88">
        <v>18414.75</v>
      </c>
      <c r="I1221" s="88"/>
      <c r="J1221" s="89"/>
      <c r="K1221" s="89"/>
      <c r="L1221" s="89">
        <f t="shared" si="36"/>
        <v>18414.75</v>
      </c>
      <c r="M1221" s="87">
        <f t="shared" si="37"/>
        <v>18414.75</v>
      </c>
      <c r="N1221" s="89"/>
      <c r="O1221" s="89"/>
      <c r="P1221" s="48">
        <v>41309</v>
      </c>
      <c r="Q1221" s="68">
        <v>42707</v>
      </c>
      <c r="R1221" s="49">
        <v>13001</v>
      </c>
    </row>
    <row r="1222" spans="1:18" s="1" customFormat="1" ht="63.75" x14ac:dyDescent="0.2">
      <c r="A1222" s="45" t="s">
        <v>3597</v>
      </c>
      <c r="B1222" s="45">
        <v>33126</v>
      </c>
      <c r="C1222" s="50" t="s">
        <v>1135</v>
      </c>
      <c r="D1222" s="50" t="s">
        <v>3316</v>
      </c>
      <c r="E1222" s="80" t="s">
        <v>3453</v>
      </c>
      <c r="F1222" s="50" t="s">
        <v>167</v>
      </c>
      <c r="G1222" s="50" t="s">
        <v>3598</v>
      </c>
      <c r="H1222" s="88">
        <f>7534.4+1574.4+1476+235.2+165+100+24.6+105.4+1935</f>
        <v>13150</v>
      </c>
      <c r="I1222" s="88"/>
      <c r="J1222" s="89"/>
      <c r="K1222" s="89">
        <f>12465.6-5615.6</f>
        <v>6850</v>
      </c>
      <c r="L1222" s="89">
        <f t="shared" si="36"/>
        <v>20000</v>
      </c>
      <c r="M1222" s="87">
        <f t="shared" si="37"/>
        <v>20000</v>
      </c>
      <c r="N1222" s="89"/>
      <c r="O1222" s="89"/>
      <c r="P1222" s="48">
        <v>41242</v>
      </c>
      <c r="Q1222" s="68">
        <v>41972</v>
      </c>
      <c r="R1222" s="49">
        <v>12299</v>
      </c>
    </row>
    <row r="1223" spans="1:18" s="1" customFormat="1" ht="51" x14ac:dyDescent="0.2">
      <c r="A1223" s="45" t="s">
        <v>3599</v>
      </c>
      <c r="B1223" s="45">
        <v>33095</v>
      </c>
      <c r="C1223" s="50" t="s">
        <v>1135</v>
      </c>
      <c r="D1223" s="50" t="s">
        <v>3600</v>
      </c>
      <c r="E1223" s="80" t="s">
        <v>3453</v>
      </c>
      <c r="F1223" s="50" t="s">
        <v>167</v>
      </c>
      <c r="G1223" s="50" t="s">
        <v>3601</v>
      </c>
      <c r="H1223" s="88">
        <f>1000+500+1250+350+900+2400+500+1000+1000+5000</f>
        <v>13900</v>
      </c>
      <c r="I1223" s="88"/>
      <c r="J1223" s="89"/>
      <c r="K1223" s="89">
        <v>5200</v>
      </c>
      <c r="L1223" s="89">
        <f t="shared" ref="L1223:L1283" si="38">H1223+I1223+J1223+K1223</f>
        <v>19100</v>
      </c>
      <c r="M1223" s="87">
        <f t="shared" ref="M1223:M1283" si="39">SUM(L1223)</f>
        <v>19100</v>
      </c>
      <c r="N1223" s="89"/>
      <c r="O1223" s="89"/>
      <c r="P1223" s="48">
        <v>41242</v>
      </c>
      <c r="Q1223" s="68">
        <v>41972</v>
      </c>
      <c r="R1223" s="49">
        <v>12365</v>
      </c>
    </row>
    <row r="1224" spans="1:18" s="1" customFormat="1" ht="51" x14ac:dyDescent="0.2">
      <c r="A1224" s="45" t="s">
        <v>3602</v>
      </c>
      <c r="B1224" s="45">
        <v>33217</v>
      </c>
      <c r="C1224" s="50" t="s">
        <v>507</v>
      </c>
      <c r="D1224" s="50" t="s">
        <v>581</v>
      </c>
      <c r="E1224" s="80" t="s">
        <v>3453</v>
      </c>
      <c r="F1224" s="50" t="s">
        <v>167</v>
      </c>
      <c r="G1224" s="50" t="s">
        <v>3603</v>
      </c>
      <c r="H1224" s="88">
        <f>1500+3000+4800+520+1500</f>
        <v>11320</v>
      </c>
      <c r="I1224" s="88"/>
      <c r="J1224" s="89"/>
      <c r="K1224" s="89">
        <v>4000</v>
      </c>
      <c r="L1224" s="89">
        <f t="shared" si="38"/>
        <v>15320</v>
      </c>
      <c r="M1224" s="87">
        <f t="shared" si="39"/>
        <v>15320</v>
      </c>
      <c r="N1224" s="89"/>
      <c r="O1224" s="89"/>
      <c r="P1224" s="48">
        <v>41242</v>
      </c>
      <c r="Q1224" s="68">
        <v>41972</v>
      </c>
      <c r="R1224" s="49">
        <v>12367</v>
      </c>
    </row>
    <row r="1225" spans="1:18" s="1" customFormat="1" ht="51" x14ac:dyDescent="0.2">
      <c r="A1225" s="45" t="s">
        <v>3604</v>
      </c>
      <c r="B1225" s="45">
        <v>33221</v>
      </c>
      <c r="C1225" s="50" t="s">
        <v>414</v>
      </c>
      <c r="D1225" s="50" t="s">
        <v>3605</v>
      </c>
      <c r="E1225" s="80" t="s">
        <v>3453</v>
      </c>
      <c r="F1225" s="50" t="s">
        <v>98</v>
      </c>
      <c r="G1225" s="50" t="s">
        <v>3606</v>
      </c>
      <c r="H1225" s="88">
        <f>900+480+70+1600+9600</f>
        <v>12650</v>
      </c>
      <c r="I1225" s="88"/>
      <c r="J1225" s="89"/>
      <c r="K1225" s="89">
        <f>1300+368.4+1905.75+700+3000</f>
        <v>7274.15</v>
      </c>
      <c r="L1225" s="89">
        <f t="shared" si="38"/>
        <v>19924.150000000001</v>
      </c>
      <c r="M1225" s="87">
        <f t="shared" si="39"/>
        <v>19924.150000000001</v>
      </c>
      <c r="N1225" s="89"/>
      <c r="O1225" s="89"/>
      <c r="P1225" s="48">
        <v>41299</v>
      </c>
      <c r="Q1225" s="68">
        <v>42029</v>
      </c>
      <c r="R1225" s="49">
        <v>12877</v>
      </c>
    </row>
    <row r="1226" spans="1:18" s="1" customFormat="1" ht="51" x14ac:dyDescent="0.2">
      <c r="A1226" s="45" t="s">
        <v>3607</v>
      </c>
      <c r="B1226" s="45">
        <v>32972</v>
      </c>
      <c r="C1226" s="50" t="s">
        <v>507</v>
      </c>
      <c r="D1226" s="50" t="s">
        <v>3608</v>
      </c>
      <c r="E1226" s="80" t="s">
        <v>3453</v>
      </c>
      <c r="F1226" s="50" t="s">
        <v>98</v>
      </c>
      <c r="G1226" s="50" t="s">
        <v>3609</v>
      </c>
      <c r="H1226" s="88">
        <f>2040+200+200+200+350+1200+4790</f>
        <v>8980</v>
      </c>
      <c r="I1226" s="88">
        <v>9600</v>
      </c>
      <c r="J1226" s="89"/>
      <c r="K1226" s="89">
        <f>1020+400</f>
        <v>1420</v>
      </c>
      <c r="L1226" s="89">
        <f t="shared" si="38"/>
        <v>20000</v>
      </c>
      <c r="M1226" s="87">
        <f t="shared" si="39"/>
        <v>20000</v>
      </c>
      <c r="N1226" s="89"/>
      <c r="O1226" s="89"/>
      <c r="P1226" s="48">
        <v>41242</v>
      </c>
      <c r="Q1226" s="68">
        <v>41972</v>
      </c>
      <c r="R1226" s="49">
        <v>12370</v>
      </c>
    </row>
    <row r="1227" spans="1:18" s="1" customFormat="1" ht="25.5" x14ac:dyDescent="0.2">
      <c r="A1227" s="45" t="s">
        <v>3610</v>
      </c>
      <c r="B1227" s="45">
        <v>34699</v>
      </c>
      <c r="C1227" s="50" t="s">
        <v>432</v>
      </c>
      <c r="D1227" s="50" t="s">
        <v>3611</v>
      </c>
      <c r="E1227" s="80" t="s">
        <v>2331</v>
      </c>
      <c r="F1227" s="50" t="s">
        <v>167</v>
      </c>
      <c r="G1227" s="50" t="s">
        <v>3612</v>
      </c>
      <c r="H1227" s="88">
        <v>19200</v>
      </c>
      <c r="I1227" s="88"/>
      <c r="J1227" s="89"/>
      <c r="K1227" s="89"/>
      <c r="L1227" s="89">
        <f t="shared" si="38"/>
        <v>19200</v>
      </c>
      <c r="M1227" s="87">
        <f t="shared" si="39"/>
        <v>19200</v>
      </c>
      <c r="N1227" s="89"/>
      <c r="O1227" s="89"/>
      <c r="P1227" s="48">
        <v>41222</v>
      </c>
      <c r="Q1227" s="68">
        <v>41526</v>
      </c>
      <c r="R1227" s="49">
        <v>12371</v>
      </c>
    </row>
    <row r="1228" spans="1:18" s="1" customFormat="1" ht="38.25" x14ac:dyDescent="0.2">
      <c r="A1228" s="45" t="s">
        <v>3613</v>
      </c>
      <c r="B1228" s="45">
        <v>34863</v>
      </c>
      <c r="C1228" s="50" t="s">
        <v>503</v>
      </c>
      <c r="D1228" s="50" t="s">
        <v>504</v>
      </c>
      <c r="E1228" s="80" t="s">
        <v>2331</v>
      </c>
      <c r="F1228" s="50" t="s">
        <v>167</v>
      </c>
      <c r="G1228" s="50" t="s">
        <v>3614</v>
      </c>
      <c r="H1228" s="88">
        <f>2124*2.03</f>
        <v>4311.7199999999993</v>
      </c>
      <c r="I1228" s="88"/>
      <c r="J1228" s="89"/>
      <c r="K1228" s="89"/>
      <c r="L1228" s="89">
        <f t="shared" si="38"/>
        <v>4311.7199999999993</v>
      </c>
      <c r="M1228" s="87">
        <f t="shared" si="39"/>
        <v>4311.7199999999993</v>
      </c>
      <c r="N1228" s="89"/>
      <c r="O1228" s="89"/>
      <c r="P1228" s="48">
        <v>41225</v>
      </c>
      <c r="Q1228" s="68">
        <v>41345</v>
      </c>
      <c r="R1228" s="49">
        <v>12081</v>
      </c>
    </row>
    <row r="1229" spans="1:18" s="1" customFormat="1" ht="51" x14ac:dyDescent="0.2">
      <c r="A1229" s="45" t="s">
        <v>3615</v>
      </c>
      <c r="B1229" s="45">
        <v>33156</v>
      </c>
      <c r="C1229" s="50" t="s">
        <v>414</v>
      </c>
      <c r="D1229" s="50" t="s">
        <v>3616</v>
      </c>
      <c r="E1229" s="80" t="s">
        <v>3453</v>
      </c>
      <c r="F1229" s="50" t="s">
        <v>398</v>
      </c>
      <c r="G1229" s="50" t="s">
        <v>3617</v>
      </c>
      <c r="H1229" s="88">
        <f>540+540+450+45+50+45+400+1500+1500</f>
        <v>5070</v>
      </c>
      <c r="I1229" s="88"/>
      <c r="J1229" s="89"/>
      <c r="K1229" s="89">
        <v>14900</v>
      </c>
      <c r="L1229" s="89">
        <f t="shared" si="38"/>
        <v>19970</v>
      </c>
      <c r="M1229" s="87">
        <f t="shared" si="39"/>
        <v>19970</v>
      </c>
      <c r="N1229" s="89"/>
      <c r="O1229" s="89"/>
      <c r="P1229" s="48">
        <v>41242</v>
      </c>
      <c r="Q1229" s="68">
        <v>41972</v>
      </c>
      <c r="R1229" s="49">
        <v>12372</v>
      </c>
    </row>
    <row r="1230" spans="1:18" s="1" customFormat="1" ht="38.25" x14ac:dyDescent="0.2">
      <c r="A1230" s="45" t="s">
        <v>3618</v>
      </c>
      <c r="B1230" s="45">
        <v>34466</v>
      </c>
      <c r="C1230" s="50" t="s">
        <v>3619</v>
      </c>
      <c r="D1230" s="50" t="s">
        <v>3620</v>
      </c>
      <c r="E1230" s="80" t="s">
        <v>2331</v>
      </c>
      <c r="F1230" s="50" t="s">
        <v>22</v>
      </c>
      <c r="G1230" s="50" t="s">
        <v>3621</v>
      </c>
      <c r="H1230" s="88">
        <v>100000</v>
      </c>
      <c r="I1230" s="88"/>
      <c r="J1230" s="89"/>
      <c r="K1230" s="89"/>
      <c r="L1230" s="89">
        <f t="shared" si="38"/>
        <v>100000</v>
      </c>
      <c r="M1230" s="87">
        <f t="shared" si="39"/>
        <v>100000</v>
      </c>
      <c r="N1230" s="89"/>
      <c r="O1230" s="89"/>
      <c r="P1230" s="48">
        <v>41227</v>
      </c>
      <c r="Q1230" s="68">
        <v>41773</v>
      </c>
      <c r="R1230" s="49">
        <v>12063</v>
      </c>
    </row>
    <row r="1231" spans="1:18" s="1" customFormat="1" ht="38.25" x14ac:dyDescent="0.2">
      <c r="A1231" s="45" t="s">
        <v>3622</v>
      </c>
      <c r="B1231" s="64">
        <v>34750</v>
      </c>
      <c r="C1231" s="50" t="s">
        <v>66</v>
      </c>
      <c r="D1231" s="50" t="s">
        <v>3623</v>
      </c>
      <c r="E1231" s="80" t="s">
        <v>3624</v>
      </c>
      <c r="F1231" s="81" t="s">
        <v>167</v>
      </c>
      <c r="G1231" s="50" t="s">
        <v>3625</v>
      </c>
      <c r="H1231" s="88"/>
      <c r="I1231" s="88">
        <v>158400</v>
      </c>
      <c r="J1231" s="89"/>
      <c r="K1231" s="89"/>
      <c r="L1231" s="89">
        <f t="shared" si="38"/>
        <v>158400</v>
      </c>
      <c r="M1231" s="87">
        <f t="shared" si="39"/>
        <v>158400</v>
      </c>
      <c r="N1231" s="89"/>
      <c r="O1231" s="89"/>
      <c r="P1231" s="48">
        <v>41246</v>
      </c>
      <c r="Q1231" s="68">
        <v>42459</v>
      </c>
      <c r="R1231" s="49">
        <v>12304</v>
      </c>
    </row>
    <row r="1232" spans="1:18" s="1" customFormat="1" ht="25.5" x14ac:dyDescent="0.2">
      <c r="A1232" s="45" t="s">
        <v>3626</v>
      </c>
      <c r="B1232" s="64">
        <v>34773</v>
      </c>
      <c r="C1232" s="50" t="s">
        <v>3240</v>
      </c>
      <c r="D1232" s="50" t="s">
        <v>2294</v>
      </c>
      <c r="E1232" s="80" t="s">
        <v>3624</v>
      </c>
      <c r="F1232" s="50" t="s">
        <v>71</v>
      </c>
      <c r="G1232" s="50" t="s">
        <v>3627</v>
      </c>
      <c r="H1232" s="88"/>
      <c r="I1232" s="88">
        <v>177600</v>
      </c>
      <c r="J1232" s="89"/>
      <c r="K1232" s="89"/>
      <c r="L1232" s="89">
        <f t="shared" si="38"/>
        <v>177600</v>
      </c>
      <c r="M1232" s="87">
        <f t="shared" si="39"/>
        <v>177600</v>
      </c>
      <c r="N1232" s="89"/>
      <c r="O1232" s="89"/>
      <c r="P1232" s="48">
        <v>41348</v>
      </c>
      <c r="Q1232" s="68">
        <v>42078</v>
      </c>
      <c r="R1232" s="49">
        <v>15005</v>
      </c>
    </row>
    <row r="1233" spans="1:18" s="1" customFormat="1" ht="25.5" x14ac:dyDescent="0.2">
      <c r="A1233" s="45" t="s">
        <v>3628</v>
      </c>
      <c r="B1233" s="64">
        <v>34756</v>
      </c>
      <c r="C1233" s="50" t="s">
        <v>238</v>
      </c>
      <c r="D1233" s="50" t="s">
        <v>657</v>
      </c>
      <c r="E1233" s="80" t="s">
        <v>3624</v>
      </c>
      <c r="F1233" s="81" t="s">
        <v>87</v>
      </c>
      <c r="G1233" s="50" t="s">
        <v>3629</v>
      </c>
      <c r="H1233" s="88"/>
      <c r="I1233" s="88">
        <v>158400</v>
      </c>
      <c r="J1233" s="89"/>
      <c r="K1233" s="89"/>
      <c r="L1233" s="89">
        <f t="shared" si="38"/>
        <v>158400</v>
      </c>
      <c r="M1233" s="87">
        <f t="shared" si="39"/>
        <v>158400</v>
      </c>
      <c r="N1233" s="89"/>
      <c r="O1233" s="89"/>
      <c r="P1233" s="48">
        <v>41246</v>
      </c>
      <c r="Q1233" s="68">
        <v>42185</v>
      </c>
      <c r="R1233" s="49">
        <v>12834</v>
      </c>
    </row>
    <row r="1234" spans="1:18" s="1" customFormat="1" ht="63.75" x14ac:dyDescent="0.2">
      <c r="A1234" s="45" t="s">
        <v>3630</v>
      </c>
      <c r="B1234" s="64">
        <v>34757</v>
      </c>
      <c r="C1234" s="50" t="s">
        <v>2356</v>
      </c>
      <c r="D1234" s="50" t="s">
        <v>3322</v>
      </c>
      <c r="E1234" s="80" t="s">
        <v>3624</v>
      </c>
      <c r="F1234" s="81" t="s">
        <v>167</v>
      </c>
      <c r="G1234" s="50" t="s">
        <v>3631</v>
      </c>
      <c r="H1234" s="88"/>
      <c r="I1234" s="88">
        <v>79200</v>
      </c>
      <c r="J1234" s="89"/>
      <c r="K1234" s="89"/>
      <c r="L1234" s="89">
        <f t="shared" si="38"/>
        <v>79200</v>
      </c>
      <c r="M1234" s="87">
        <f t="shared" si="39"/>
        <v>79200</v>
      </c>
      <c r="N1234" s="89"/>
      <c r="O1234" s="89"/>
      <c r="P1234" s="48">
        <v>41246</v>
      </c>
      <c r="Q1234" s="68">
        <v>41976</v>
      </c>
      <c r="R1234" s="49">
        <v>12301</v>
      </c>
    </row>
    <row r="1235" spans="1:18" s="1" customFormat="1" ht="38.25" x14ac:dyDescent="0.2">
      <c r="A1235" s="45" t="s">
        <v>3632</v>
      </c>
      <c r="B1235" s="64">
        <v>34770</v>
      </c>
      <c r="C1235" s="50" t="s">
        <v>35</v>
      </c>
      <c r="D1235" s="50" t="s">
        <v>125</v>
      </c>
      <c r="E1235" s="80" t="s">
        <v>3624</v>
      </c>
      <c r="F1235" s="50" t="s">
        <v>94</v>
      </c>
      <c r="G1235" s="50" t="s">
        <v>3633</v>
      </c>
      <c r="H1235" s="88"/>
      <c r="I1235" s="88">
        <v>316200</v>
      </c>
      <c r="J1235" s="89"/>
      <c r="K1235" s="89"/>
      <c r="L1235" s="89">
        <f t="shared" si="38"/>
        <v>316200</v>
      </c>
      <c r="M1235" s="87">
        <f t="shared" si="39"/>
        <v>316200</v>
      </c>
      <c r="N1235" s="89"/>
      <c r="O1235" s="89"/>
      <c r="P1235" s="48">
        <v>41246</v>
      </c>
      <c r="Q1235" s="68">
        <v>42432</v>
      </c>
      <c r="R1235" s="49">
        <v>12298</v>
      </c>
    </row>
    <row r="1236" spans="1:18" s="1" customFormat="1" ht="25.5" x14ac:dyDescent="0.2">
      <c r="A1236" s="45" t="s">
        <v>3634</v>
      </c>
      <c r="B1236" s="64">
        <v>34763</v>
      </c>
      <c r="C1236" s="50" t="s">
        <v>457</v>
      </c>
      <c r="D1236" s="50" t="s">
        <v>3635</v>
      </c>
      <c r="E1236" s="80" t="s">
        <v>3624</v>
      </c>
      <c r="F1236" s="50" t="s">
        <v>167</v>
      </c>
      <c r="G1236" s="50" t="s">
        <v>3636</v>
      </c>
      <c r="H1236" s="88"/>
      <c r="I1236" s="88">
        <v>312000</v>
      </c>
      <c r="J1236" s="89"/>
      <c r="K1236" s="89"/>
      <c r="L1236" s="89">
        <f t="shared" si="38"/>
        <v>312000</v>
      </c>
      <c r="M1236" s="87">
        <f t="shared" si="39"/>
        <v>312000</v>
      </c>
      <c r="N1236" s="89"/>
      <c r="O1236" s="89"/>
      <c r="P1236" s="48">
        <v>41248</v>
      </c>
      <c r="Q1236" s="68">
        <v>42190</v>
      </c>
      <c r="R1236" s="49">
        <v>12316</v>
      </c>
    </row>
    <row r="1237" spans="1:18" s="1" customFormat="1" ht="25.5" x14ac:dyDescent="0.2">
      <c r="A1237" s="45" t="s">
        <v>3637</v>
      </c>
      <c r="B1237" s="64">
        <v>34802</v>
      </c>
      <c r="C1237" s="50" t="s">
        <v>43</v>
      </c>
      <c r="D1237" s="50" t="s">
        <v>753</v>
      </c>
      <c r="E1237" s="80" t="s">
        <v>3624</v>
      </c>
      <c r="F1237" s="50" t="s">
        <v>94</v>
      </c>
      <c r="G1237" s="50" t="s">
        <v>3638</v>
      </c>
      <c r="H1237" s="88"/>
      <c r="I1237" s="88">
        <v>316600</v>
      </c>
      <c r="J1237" s="89"/>
      <c r="K1237" s="89"/>
      <c r="L1237" s="89">
        <f t="shared" si="38"/>
        <v>316600</v>
      </c>
      <c r="M1237" s="87">
        <f t="shared" si="39"/>
        <v>316600</v>
      </c>
      <c r="N1237" s="89"/>
      <c r="O1237" s="89"/>
      <c r="P1237" s="48">
        <v>41346</v>
      </c>
      <c r="Q1237" s="68">
        <v>42583</v>
      </c>
      <c r="R1237" s="49">
        <v>14266</v>
      </c>
    </row>
    <row r="1238" spans="1:18" s="1" customFormat="1" ht="25.5" x14ac:dyDescent="0.2">
      <c r="A1238" s="45" t="s">
        <v>3639</v>
      </c>
      <c r="B1238" s="64">
        <v>34755</v>
      </c>
      <c r="C1238" s="50" t="s">
        <v>369</v>
      </c>
      <c r="D1238" s="50" t="s">
        <v>1178</v>
      </c>
      <c r="E1238" s="80" t="s">
        <v>3624</v>
      </c>
      <c r="F1238" s="50" t="s">
        <v>63</v>
      </c>
      <c r="G1238" s="50" t="s">
        <v>3640</v>
      </c>
      <c r="H1238" s="88"/>
      <c r="I1238" s="88">
        <v>237600</v>
      </c>
      <c r="J1238" s="89"/>
      <c r="K1238" s="89"/>
      <c r="L1238" s="89">
        <f t="shared" si="38"/>
        <v>237600</v>
      </c>
      <c r="M1238" s="87">
        <f t="shared" si="39"/>
        <v>237600</v>
      </c>
      <c r="N1238" s="89"/>
      <c r="O1238" s="89"/>
      <c r="P1238" s="48">
        <v>41242</v>
      </c>
      <c r="Q1238" s="68">
        <v>42518</v>
      </c>
      <c r="R1238" s="49">
        <v>12373</v>
      </c>
    </row>
    <row r="1239" spans="1:18" s="1" customFormat="1" ht="25.5" x14ac:dyDescent="0.2">
      <c r="A1239" s="45" t="s">
        <v>3641</v>
      </c>
      <c r="B1239" s="64">
        <v>34697</v>
      </c>
      <c r="C1239" s="50" t="s">
        <v>2608</v>
      </c>
      <c r="D1239" s="50" t="s">
        <v>1576</v>
      </c>
      <c r="E1239" s="80" t="s">
        <v>3624</v>
      </c>
      <c r="F1239" s="50" t="s">
        <v>87</v>
      </c>
      <c r="G1239" s="50" t="s">
        <v>3642</v>
      </c>
      <c r="H1239" s="88"/>
      <c r="I1239" s="88">
        <v>237600</v>
      </c>
      <c r="J1239" s="89"/>
      <c r="K1239" s="89"/>
      <c r="L1239" s="89">
        <f t="shared" si="38"/>
        <v>237600</v>
      </c>
      <c r="M1239" s="87">
        <f t="shared" si="39"/>
        <v>237600</v>
      </c>
      <c r="N1239" s="89"/>
      <c r="O1239" s="89"/>
      <c r="P1239" s="48">
        <v>41246</v>
      </c>
      <c r="Q1239" s="68">
        <v>43072</v>
      </c>
      <c r="R1239" s="49">
        <v>12375</v>
      </c>
    </row>
    <row r="1240" spans="1:18" s="1" customFormat="1" ht="38.25" x14ac:dyDescent="0.2">
      <c r="A1240" s="45" t="s">
        <v>3643</v>
      </c>
      <c r="B1240" s="64">
        <v>34737</v>
      </c>
      <c r="C1240" s="50" t="s">
        <v>19</v>
      </c>
      <c r="D1240" s="50" t="s">
        <v>3644</v>
      </c>
      <c r="E1240" s="80" t="s">
        <v>3624</v>
      </c>
      <c r="F1240" s="50" t="s">
        <v>71</v>
      </c>
      <c r="G1240" s="50" t="s">
        <v>3645</v>
      </c>
      <c r="H1240" s="88"/>
      <c r="I1240" s="88">
        <v>316800</v>
      </c>
      <c r="J1240" s="89"/>
      <c r="K1240" s="89"/>
      <c r="L1240" s="89">
        <f t="shared" si="38"/>
        <v>316800</v>
      </c>
      <c r="M1240" s="87">
        <f t="shared" si="39"/>
        <v>316800</v>
      </c>
      <c r="N1240" s="89"/>
      <c r="O1240" s="89"/>
      <c r="P1240" s="48">
        <v>41248</v>
      </c>
      <c r="Q1240" s="68">
        <v>42307</v>
      </c>
      <c r="R1240" s="49">
        <v>12317</v>
      </c>
    </row>
    <row r="1241" spans="1:18" s="1" customFormat="1" ht="25.5" x14ac:dyDescent="0.2">
      <c r="A1241" s="45" t="s">
        <v>3646</v>
      </c>
      <c r="B1241" s="45">
        <v>34600</v>
      </c>
      <c r="C1241" s="50" t="s">
        <v>3240</v>
      </c>
      <c r="D1241" s="50" t="s">
        <v>747</v>
      </c>
      <c r="E1241" s="80" t="s">
        <v>2331</v>
      </c>
      <c r="F1241" s="81" t="s">
        <v>71</v>
      </c>
      <c r="G1241" s="50" t="s">
        <v>3647</v>
      </c>
      <c r="H1241" s="88">
        <f>55000+50000</f>
        <v>105000</v>
      </c>
      <c r="I1241" s="88"/>
      <c r="J1241" s="89"/>
      <c r="K1241" s="89"/>
      <c r="L1241" s="89">
        <f t="shared" si="38"/>
        <v>105000</v>
      </c>
      <c r="M1241" s="87">
        <f t="shared" si="39"/>
        <v>105000</v>
      </c>
      <c r="N1241" s="89"/>
      <c r="O1241" s="89"/>
      <c r="P1241" s="48">
        <v>41253</v>
      </c>
      <c r="Q1241" s="68">
        <v>42438</v>
      </c>
      <c r="R1241" s="49">
        <v>12596</v>
      </c>
    </row>
    <row r="1242" spans="1:18" s="1" customFormat="1" ht="38.25" x14ac:dyDescent="0.2">
      <c r="A1242" s="45" t="s">
        <v>3648</v>
      </c>
      <c r="B1242" s="45">
        <v>34774</v>
      </c>
      <c r="C1242" s="50" t="s">
        <v>43</v>
      </c>
      <c r="D1242" s="50" t="s">
        <v>3649</v>
      </c>
      <c r="E1242" s="80" t="s">
        <v>2639</v>
      </c>
      <c r="F1242" s="50" t="s">
        <v>22</v>
      </c>
      <c r="G1242" s="50" t="s">
        <v>3650</v>
      </c>
      <c r="H1242" s="88">
        <v>4040</v>
      </c>
      <c r="I1242" s="88"/>
      <c r="J1242" s="89"/>
      <c r="K1242" s="89"/>
      <c r="L1242" s="89">
        <f t="shared" si="38"/>
        <v>4040</v>
      </c>
      <c r="M1242" s="87">
        <f t="shared" si="39"/>
        <v>4040</v>
      </c>
      <c r="N1242" s="89"/>
      <c r="O1242" s="89"/>
      <c r="P1242" s="48">
        <v>41299</v>
      </c>
      <c r="Q1242" s="68">
        <v>41480</v>
      </c>
      <c r="R1242" s="49">
        <v>12880</v>
      </c>
    </row>
    <row r="1243" spans="1:18" s="1" customFormat="1" ht="25.5" x14ac:dyDescent="0.2">
      <c r="A1243" s="45" t="s">
        <v>3651</v>
      </c>
      <c r="B1243" s="45">
        <v>34893</v>
      </c>
      <c r="C1243" s="50" t="s">
        <v>3344</v>
      </c>
      <c r="D1243" s="50" t="s">
        <v>3652</v>
      </c>
      <c r="E1243" s="80" t="s">
        <v>2639</v>
      </c>
      <c r="F1243" s="50" t="s">
        <v>167</v>
      </c>
      <c r="G1243" s="50" t="s">
        <v>3653</v>
      </c>
      <c r="H1243" s="88">
        <v>4900</v>
      </c>
      <c r="I1243" s="88"/>
      <c r="J1243" s="89"/>
      <c r="K1243" s="89"/>
      <c r="L1243" s="89">
        <f t="shared" si="38"/>
        <v>4900</v>
      </c>
      <c r="M1243" s="87">
        <f t="shared" si="39"/>
        <v>4900</v>
      </c>
      <c r="N1243" s="89"/>
      <c r="O1243" s="89"/>
      <c r="P1243" s="48">
        <v>41260</v>
      </c>
      <c r="Q1243" s="68">
        <v>41442</v>
      </c>
      <c r="R1243" s="49">
        <v>12598</v>
      </c>
    </row>
    <row r="1244" spans="1:18" s="1" customFormat="1" ht="38.25" x14ac:dyDescent="0.2">
      <c r="A1244" s="45" t="s">
        <v>3654</v>
      </c>
      <c r="B1244" s="45">
        <v>34417</v>
      </c>
      <c r="C1244" s="50" t="s">
        <v>35</v>
      </c>
      <c r="D1244" s="50" t="s">
        <v>3655</v>
      </c>
      <c r="E1244" s="80" t="s">
        <v>2639</v>
      </c>
      <c r="F1244" s="50" t="s">
        <v>22</v>
      </c>
      <c r="G1244" s="50" t="s">
        <v>3656</v>
      </c>
      <c r="H1244" s="88">
        <v>4903</v>
      </c>
      <c r="I1244" s="88"/>
      <c r="J1244" s="89"/>
      <c r="K1244" s="89"/>
      <c r="L1244" s="89">
        <f t="shared" si="38"/>
        <v>4903</v>
      </c>
      <c r="M1244" s="87">
        <f t="shared" si="39"/>
        <v>4903</v>
      </c>
      <c r="N1244" s="89"/>
      <c r="O1244" s="89"/>
      <c r="P1244" s="48">
        <v>41250</v>
      </c>
      <c r="Q1244" s="68">
        <v>41432</v>
      </c>
      <c r="R1244" s="49">
        <v>12997</v>
      </c>
    </row>
    <row r="1245" spans="1:18" s="1" customFormat="1" ht="51" x14ac:dyDescent="0.2">
      <c r="A1245" s="45" t="s">
        <v>3657</v>
      </c>
      <c r="B1245" s="45">
        <v>34844</v>
      </c>
      <c r="C1245" s="50" t="s">
        <v>43</v>
      </c>
      <c r="D1245" s="50" t="s">
        <v>3658</v>
      </c>
      <c r="E1245" s="80" t="s">
        <v>2639</v>
      </c>
      <c r="F1245" s="50" t="s">
        <v>22</v>
      </c>
      <c r="G1245" s="50" t="s">
        <v>3659</v>
      </c>
      <c r="H1245" s="88">
        <v>4800</v>
      </c>
      <c r="I1245" s="88"/>
      <c r="J1245" s="89"/>
      <c r="K1245" s="89"/>
      <c r="L1245" s="89">
        <f t="shared" si="38"/>
        <v>4800</v>
      </c>
      <c r="M1245" s="87">
        <f t="shared" si="39"/>
        <v>4800</v>
      </c>
      <c r="N1245" s="89"/>
      <c r="O1245" s="89"/>
      <c r="P1245" s="48">
        <v>41299</v>
      </c>
      <c r="Q1245" s="68">
        <v>41480</v>
      </c>
      <c r="R1245" s="49">
        <v>12884</v>
      </c>
    </row>
    <row r="1246" spans="1:18" s="1" customFormat="1" ht="38.25" x14ac:dyDescent="0.2">
      <c r="A1246" s="45" t="s">
        <v>3660</v>
      </c>
      <c r="B1246" s="45">
        <v>34877</v>
      </c>
      <c r="C1246" s="50" t="s">
        <v>19</v>
      </c>
      <c r="D1246" s="50" t="s">
        <v>1667</v>
      </c>
      <c r="E1246" s="80" t="s">
        <v>2639</v>
      </c>
      <c r="F1246" s="50" t="s">
        <v>94</v>
      </c>
      <c r="G1246" s="50" t="s">
        <v>3661</v>
      </c>
      <c r="H1246" s="88">
        <v>3524</v>
      </c>
      <c r="I1246" s="88"/>
      <c r="J1246" s="89"/>
      <c r="K1246" s="89"/>
      <c r="L1246" s="89">
        <f t="shared" si="38"/>
        <v>3524</v>
      </c>
      <c r="M1246" s="87">
        <f t="shared" si="39"/>
        <v>3524</v>
      </c>
      <c r="N1246" s="89"/>
      <c r="O1246" s="89"/>
      <c r="P1246" s="48">
        <v>41299</v>
      </c>
      <c r="Q1246" s="68">
        <v>41480</v>
      </c>
      <c r="R1246" s="49">
        <v>12764</v>
      </c>
    </row>
    <row r="1247" spans="1:18" s="1" customFormat="1" ht="25.5" x14ac:dyDescent="0.2">
      <c r="A1247" s="45" t="s">
        <v>3662</v>
      </c>
      <c r="B1247" s="45">
        <v>34820</v>
      </c>
      <c r="C1247" s="50" t="s">
        <v>574</v>
      </c>
      <c r="D1247" s="50" t="s">
        <v>3663</v>
      </c>
      <c r="E1247" s="80" t="s">
        <v>2639</v>
      </c>
      <c r="F1247" s="50" t="s">
        <v>45</v>
      </c>
      <c r="G1247" s="50" t="s">
        <v>3664</v>
      </c>
      <c r="H1247" s="88">
        <v>5000</v>
      </c>
      <c r="I1247" s="88"/>
      <c r="J1247" s="89"/>
      <c r="K1247" s="89"/>
      <c r="L1247" s="89">
        <f t="shared" si="38"/>
        <v>5000</v>
      </c>
      <c r="M1247" s="87">
        <f t="shared" si="39"/>
        <v>5000</v>
      </c>
      <c r="N1247" s="89"/>
      <c r="O1247" s="89"/>
      <c r="P1247" s="48">
        <v>41254</v>
      </c>
      <c r="Q1247" s="68">
        <v>41436</v>
      </c>
      <c r="R1247" s="49">
        <v>12332</v>
      </c>
    </row>
    <row r="1248" spans="1:18" s="1" customFormat="1" ht="38.25" x14ac:dyDescent="0.2">
      <c r="A1248" s="45" t="s">
        <v>3665</v>
      </c>
      <c r="B1248" s="45">
        <v>34887</v>
      </c>
      <c r="C1248" s="50" t="s">
        <v>369</v>
      </c>
      <c r="D1248" s="50" t="s">
        <v>3666</v>
      </c>
      <c r="E1248" s="80" t="s">
        <v>2639</v>
      </c>
      <c r="F1248" s="50" t="s">
        <v>98</v>
      </c>
      <c r="G1248" s="50" t="s">
        <v>3667</v>
      </c>
      <c r="H1248" s="88">
        <v>4855</v>
      </c>
      <c r="I1248" s="88"/>
      <c r="J1248" s="89"/>
      <c r="K1248" s="89"/>
      <c r="L1248" s="89">
        <f t="shared" si="38"/>
        <v>4855</v>
      </c>
      <c r="M1248" s="87">
        <f t="shared" si="39"/>
        <v>4855</v>
      </c>
      <c r="N1248" s="89"/>
      <c r="O1248" s="89"/>
      <c r="P1248" s="48">
        <v>41216</v>
      </c>
      <c r="Q1248" s="68">
        <v>41397</v>
      </c>
      <c r="R1248" s="49">
        <v>12314</v>
      </c>
    </row>
    <row r="1249" spans="1:18" s="1" customFormat="1" ht="25.5" x14ac:dyDescent="0.2">
      <c r="A1249" s="45" t="s">
        <v>3668</v>
      </c>
      <c r="B1249" s="45">
        <v>34693</v>
      </c>
      <c r="C1249" s="50" t="s">
        <v>43</v>
      </c>
      <c r="D1249" s="50" t="s">
        <v>3669</v>
      </c>
      <c r="E1249" s="80" t="s">
        <v>2639</v>
      </c>
      <c r="F1249" s="50" t="s">
        <v>87</v>
      </c>
      <c r="G1249" s="50" t="s">
        <v>3670</v>
      </c>
      <c r="H1249" s="88">
        <v>5000</v>
      </c>
      <c r="I1249" s="88"/>
      <c r="J1249" s="89"/>
      <c r="K1249" s="89"/>
      <c r="L1249" s="89">
        <f t="shared" si="38"/>
        <v>5000</v>
      </c>
      <c r="M1249" s="87">
        <f t="shared" si="39"/>
        <v>5000</v>
      </c>
      <c r="N1249" s="89"/>
      <c r="O1249" s="89"/>
      <c r="P1249" s="48">
        <v>41299</v>
      </c>
      <c r="Q1249" s="68">
        <v>41547</v>
      </c>
      <c r="R1249" s="49">
        <v>12882</v>
      </c>
    </row>
    <row r="1250" spans="1:18" s="1" customFormat="1" ht="25.5" x14ac:dyDescent="0.2">
      <c r="A1250" s="45" t="s">
        <v>3671</v>
      </c>
      <c r="B1250" s="45">
        <v>34367</v>
      </c>
      <c r="C1250" s="50" t="s">
        <v>35</v>
      </c>
      <c r="D1250" s="50" t="s">
        <v>3672</v>
      </c>
      <c r="E1250" s="80" t="s">
        <v>2639</v>
      </c>
      <c r="F1250" s="50" t="s">
        <v>94</v>
      </c>
      <c r="G1250" s="50" t="s">
        <v>3673</v>
      </c>
      <c r="H1250" s="88">
        <v>2100</v>
      </c>
      <c r="I1250" s="88"/>
      <c r="J1250" s="89"/>
      <c r="K1250" s="89"/>
      <c r="L1250" s="89">
        <f t="shared" si="38"/>
        <v>2100</v>
      </c>
      <c r="M1250" s="87">
        <f t="shared" si="39"/>
        <v>2100</v>
      </c>
      <c r="N1250" s="89"/>
      <c r="O1250" s="89"/>
      <c r="P1250" s="48">
        <v>41291</v>
      </c>
      <c r="Q1250" s="68">
        <v>41472</v>
      </c>
      <c r="R1250" s="49">
        <v>12907</v>
      </c>
    </row>
    <row r="1251" spans="1:18" s="1" customFormat="1" ht="51" x14ac:dyDescent="0.2">
      <c r="A1251" s="45" t="s">
        <v>3674</v>
      </c>
      <c r="B1251" s="45">
        <v>34732</v>
      </c>
      <c r="C1251" s="50" t="s">
        <v>319</v>
      </c>
      <c r="D1251" s="50" t="s">
        <v>1070</v>
      </c>
      <c r="E1251" s="80" t="s">
        <v>2331</v>
      </c>
      <c r="F1251" s="50" t="s">
        <v>94</v>
      </c>
      <c r="G1251" s="50" t="s">
        <v>3675</v>
      </c>
      <c r="H1251" s="88">
        <v>240000</v>
      </c>
      <c r="I1251" s="88"/>
      <c r="J1251" s="89"/>
      <c r="K1251" s="89"/>
      <c r="L1251" s="89">
        <f t="shared" si="38"/>
        <v>240000</v>
      </c>
      <c r="M1251" s="87">
        <f t="shared" si="39"/>
        <v>240000</v>
      </c>
      <c r="N1251" s="89"/>
      <c r="O1251" s="89"/>
      <c r="P1251" s="48">
        <v>41299</v>
      </c>
      <c r="Q1251" s="68">
        <v>42552</v>
      </c>
      <c r="R1251" s="49">
        <v>12762</v>
      </c>
    </row>
    <row r="1252" spans="1:18" s="1" customFormat="1" ht="51" x14ac:dyDescent="0.2">
      <c r="A1252" s="45" t="s">
        <v>3676</v>
      </c>
      <c r="B1252" s="45">
        <v>34720</v>
      </c>
      <c r="C1252" s="50" t="s">
        <v>43</v>
      </c>
      <c r="D1252" s="50" t="s">
        <v>228</v>
      </c>
      <c r="E1252" s="80" t="s">
        <v>2331</v>
      </c>
      <c r="F1252" s="50" t="s">
        <v>94</v>
      </c>
      <c r="G1252" s="50" t="s">
        <v>3677</v>
      </c>
      <c r="H1252" s="88">
        <f>45645+34500</f>
        <v>80145</v>
      </c>
      <c r="I1252" s="88"/>
      <c r="J1252" s="89"/>
      <c r="K1252" s="89">
        <v>169850.49</v>
      </c>
      <c r="L1252" s="89">
        <f t="shared" si="38"/>
        <v>249995.49</v>
      </c>
      <c r="M1252" s="87">
        <f t="shared" si="39"/>
        <v>249995.49</v>
      </c>
      <c r="N1252" s="89"/>
      <c r="O1252" s="89"/>
      <c r="P1252" s="48">
        <v>41299</v>
      </c>
      <c r="Q1252" s="68">
        <v>42794</v>
      </c>
      <c r="R1252" s="49">
        <v>12913</v>
      </c>
    </row>
    <row r="1253" spans="1:18" s="1" customFormat="1" ht="38.25" x14ac:dyDescent="0.2">
      <c r="A1253" s="45" t="s">
        <v>3678</v>
      </c>
      <c r="B1253" s="45">
        <v>34469</v>
      </c>
      <c r="C1253" s="50" t="s">
        <v>1713</v>
      </c>
      <c r="D1253" s="50" t="s">
        <v>3679</v>
      </c>
      <c r="E1253" s="80" t="s">
        <v>2331</v>
      </c>
      <c r="F1253" s="50" t="s">
        <v>22</v>
      </c>
      <c r="G1253" s="50" t="s">
        <v>3680</v>
      </c>
      <c r="H1253" s="88"/>
      <c r="I1253" s="88">
        <v>200000</v>
      </c>
      <c r="J1253" s="89"/>
      <c r="K1253" s="89"/>
      <c r="L1253" s="89">
        <f t="shared" si="38"/>
        <v>200000</v>
      </c>
      <c r="M1253" s="87">
        <f t="shared" si="39"/>
        <v>200000</v>
      </c>
      <c r="N1253" s="89"/>
      <c r="O1253" s="89"/>
      <c r="P1253" s="48">
        <v>41253</v>
      </c>
      <c r="Q1253" s="68">
        <v>42257</v>
      </c>
      <c r="R1253" s="49">
        <v>12281</v>
      </c>
    </row>
    <row r="1254" spans="1:18" s="1" customFormat="1" ht="38.25" x14ac:dyDescent="0.2">
      <c r="A1254" s="45" t="s">
        <v>3681</v>
      </c>
      <c r="B1254" s="45">
        <v>34430</v>
      </c>
      <c r="C1254" s="50" t="s">
        <v>263</v>
      </c>
      <c r="D1254" s="50" t="s">
        <v>705</v>
      </c>
      <c r="E1254" s="80" t="s">
        <v>2331</v>
      </c>
      <c r="F1254" s="50" t="s">
        <v>87</v>
      </c>
      <c r="G1254" s="50" t="s">
        <v>3682</v>
      </c>
      <c r="H1254" s="88"/>
      <c r="I1254" s="88"/>
      <c r="J1254" s="89"/>
      <c r="K1254" s="89">
        <v>211000</v>
      </c>
      <c r="L1254" s="89">
        <f t="shared" si="38"/>
        <v>211000</v>
      </c>
      <c r="M1254" s="87">
        <f t="shared" si="39"/>
        <v>211000</v>
      </c>
      <c r="N1254" s="89"/>
      <c r="O1254" s="89"/>
      <c r="P1254" s="48">
        <v>41254</v>
      </c>
      <c r="Q1254" s="68">
        <v>41984</v>
      </c>
      <c r="R1254" s="49">
        <v>12306</v>
      </c>
    </row>
    <row r="1255" spans="1:18" s="1" customFormat="1" ht="25.5" x14ac:dyDescent="0.2">
      <c r="A1255" s="45" t="s">
        <v>3683</v>
      </c>
      <c r="B1255" s="45">
        <v>34571</v>
      </c>
      <c r="C1255" s="50" t="s">
        <v>43</v>
      </c>
      <c r="D1255" s="50" t="s">
        <v>3684</v>
      </c>
      <c r="E1255" s="80" t="s">
        <v>2331</v>
      </c>
      <c r="F1255" s="50" t="s">
        <v>98</v>
      </c>
      <c r="G1255" s="50" t="s">
        <v>3685</v>
      </c>
      <c r="H1255" s="88">
        <f>5520+4800+16000+5500</f>
        <v>31820</v>
      </c>
      <c r="I1255" s="88">
        <v>206800</v>
      </c>
      <c r="J1255" s="89"/>
      <c r="K1255" s="89">
        <v>11000</v>
      </c>
      <c r="L1255" s="89">
        <f t="shared" si="38"/>
        <v>249620</v>
      </c>
      <c r="M1255" s="87">
        <f t="shared" si="39"/>
        <v>249620</v>
      </c>
      <c r="N1255" s="89"/>
      <c r="O1255" s="89"/>
      <c r="P1255" s="48">
        <v>41299</v>
      </c>
      <c r="Q1255" s="68">
        <v>42643</v>
      </c>
      <c r="R1255" s="49">
        <v>12987</v>
      </c>
    </row>
    <row r="1256" spans="1:18" s="1" customFormat="1" ht="25.5" x14ac:dyDescent="0.2">
      <c r="A1256" s="45" t="s">
        <v>3686</v>
      </c>
      <c r="B1256" s="64">
        <v>35251</v>
      </c>
      <c r="C1256" s="50" t="s">
        <v>238</v>
      </c>
      <c r="D1256" s="50" t="s">
        <v>3687</v>
      </c>
      <c r="E1256" s="80" t="s">
        <v>2331</v>
      </c>
      <c r="F1256" s="50" t="s">
        <v>98</v>
      </c>
      <c r="G1256" s="50" t="s">
        <v>3688</v>
      </c>
      <c r="H1256" s="88"/>
      <c r="I1256" s="88">
        <v>66600</v>
      </c>
      <c r="J1256" s="89"/>
      <c r="K1256" s="89"/>
      <c r="L1256" s="89">
        <f t="shared" si="38"/>
        <v>66600</v>
      </c>
      <c r="M1256" s="87">
        <f t="shared" si="39"/>
        <v>66600</v>
      </c>
      <c r="N1256" s="89"/>
      <c r="O1256" s="89"/>
      <c r="P1256" s="48">
        <v>41299</v>
      </c>
      <c r="Q1256" s="68">
        <v>41876</v>
      </c>
      <c r="R1256" s="49">
        <v>12658</v>
      </c>
    </row>
    <row r="1257" spans="1:18" s="1" customFormat="1" ht="25.5" x14ac:dyDescent="0.2">
      <c r="A1257" s="45" t="s">
        <v>3689</v>
      </c>
      <c r="B1257" s="45">
        <v>34906</v>
      </c>
      <c r="C1257" s="50" t="s">
        <v>19</v>
      </c>
      <c r="D1257" s="50" t="s">
        <v>3690</v>
      </c>
      <c r="E1257" s="80" t="s">
        <v>2331</v>
      </c>
      <c r="F1257" s="50" t="s">
        <v>167</v>
      </c>
      <c r="G1257" s="50" t="s">
        <v>3691</v>
      </c>
      <c r="H1257" s="88">
        <f>910+5180+35640+11600+70360</f>
        <v>123690</v>
      </c>
      <c r="I1257" s="88">
        <v>36000</v>
      </c>
      <c r="J1257" s="89"/>
      <c r="K1257" s="89">
        <v>34000</v>
      </c>
      <c r="L1257" s="89">
        <f t="shared" si="38"/>
        <v>193690</v>
      </c>
      <c r="M1257" s="87">
        <f t="shared" si="39"/>
        <v>193690</v>
      </c>
      <c r="N1257" s="89"/>
      <c r="O1257" s="89"/>
      <c r="P1257" s="48">
        <v>41299</v>
      </c>
      <c r="Q1257" s="68">
        <v>42668</v>
      </c>
      <c r="R1257" s="49">
        <v>12712</v>
      </c>
    </row>
    <row r="1258" spans="1:18" s="1" customFormat="1" ht="76.5" x14ac:dyDescent="0.2">
      <c r="A1258" s="45" t="s">
        <v>3692</v>
      </c>
      <c r="B1258" s="57">
        <v>34938</v>
      </c>
      <c r="C1258" s="50" t="s">
        <v>3240</v>
      </c>
      <c r="D1258" s="50" t="s">
        <v>3693</v>
      </c>
      <c r="E1258" s="80" t="s">
        <v>3694</v>
      </c>
      <c r="F1258" s="50" t="s">
        <v>3695</v>
      </c>
      <c r="G1258" s="60" t="s">
        <v>3696</v>
      </c>
      <c r="H1258" s="88">
        <f>3746.6+7500+4800+33000</f>
        <v>49046.6</v>
      </c>
      <c r="I1258" s="88">
        <v>32400</v>
      </c>
      <c r="J1258" s="89"/>
      <c r="K1258" s="89">
        <v>14200</v>
      </c>
      <c r="L1258" s="89">
        <f t="shared" si="38"/>
        <v>95646.6</v>
      </c>
      <c r="M1258" s="87">
        <f t="shared" si="39"/>
        <v>95646.6</v>
      </c>
      <c r="N1258" s="89"/>
      <c r="O1258" s="89"/>
      <c r="P1258" s="51">
        <v>41498</v>
      </c>
      <c r="Q1258" s="68">
        <v>42027</v>
      </c>
      <c r="R1258" s="72">
        <v>16733</v>
      </c>
    </row>
    <row r="1259" spans="1:18" s="1" customFormat="1" ht="63.75" x14ac:dyDescent="0.2">
      <c r="A1259" s="45" t="s">
        <v>3697</v>
      </c>
      <c r="B1259" s="57">
        <v>35004</v>
      </c>
      <c r="C1259" s="50" t="s">
        <v>407</v>
      </c>
      <c r="D1259" s="50" t="s">
        <v>3698</v>
      </c>
      <c r="E1259" s="80" t="s">
        <v>3694</v>
      </c>
      <c r="F1259" s="50" t="s">
        <v>87</v>
      </c>
      <c r="G1259" s="60" t="s">
        <v>3699</v>
      </c>
      <c r="H1259" s="88">
        <f>19233.62+5000</f>
        <v>24233.62</v>
      </c>
      <c r="I1259" s="88">
        <v>22800</v>
      </c>
      <c r="J1259" s="89"/>
      <c r="K1259" s="89">
        <v>24349.9</v>
      </c>
      <c r="L1259" s="89">
        <f t="shared" si="38"/>
        <v>71383.51999999999</v>
      </c>
      <c r="M1259" s="87">
        <f t="shared" si="39"/>
        <v>71383.51999999999</v>
      </c>
      <c r="N1259" s="89"/>
      <c r="O1259" s="89"/>
      <c r="P1259" s="48">
        <v>41377</v>
      </c>
      <c r="Q1259" s="68">
        <v>42107</v>
      </c>
      <c r="R1259" s="49">
        <v>15273</v>
      </c>
    </row>
    <row r="1260" spans="1:18" s="1" customFormat="1" ht="38.25" x14ac:dyDescent="0.2">
      <c r="A1260" s="45" t="s">
        <v>3700</v>
      </c>
      <c r="B1260" s="57">
        <v>35038</v>
      </c>
      <c r="C1260" s="50" t="s">
        <v>263</v>
      </c>
      <c r="D1260" s="50" t="s">
        <v>3701</v>
      </c>
      <c r="E1260" s="80" t="s">
        <v>3694</v>
      </c>
      <c r="F1260" s="50" t="s">
        <v>87</v>
      </c>
      <c r="G1260" s="60" t="s">
        <v>3702</v>
      </c>
      <c r="H1260" s="88">
        <f>2400+11100+3600+35500</f>
        <v>52600</v>
      </c>
      <c r="I1260" s="88">
        <v>32400</v>
      </c>
      <c r="J1260" s="89"/>
      <c r="K1260" s="89">
        <v>45390</v>
      </c>
      <c r="L1260" s="89">
        <f t="shared" si="38"/>
        <v>130390</v>
      </c>
      <c r="M1260" s="87">
        <f t="shared" si="39"/>
        <v>130390</v>
      </c>
      <c r="N1260" s="89"/>
      <c r="O1260" s="89"/>
      <c r="P1260" s="48">
        <v>41299</v>
      </c>
      <c r="Q1260" s="68">
        <v>42522</v>
      </c>
      <c r="R1260" s="49">
        <v>12537</v>
      </c>
    </row>
    <row r="1261" spans="1:18" s="1" customFormat="1" ht="63.75" x14ac:dyDescent="0.2">
      <c r="A1261" s="45" t="s">
        <v>3703</v>
      </c>
      <c r="B1261" s="57">
        <v>34969</v>
      </c>
      <c r="C1261" s="50" t="s">
        <v>238</v>
      </c>
      <c r="D1261" s="50" t="s">
        <v>3704</v>
      </c>
      <c r="E1261" s="80" t="s">
        <v>3694</v>
      </c>
      <c r="F1261" s="50" t="s">
        <v>87</v>
      </c>
      <c r="G1261" s="60" t="s">
        <v>3705</v>
      </c>
      <c r="H1261" s="88">
        <f>7513.2+27200+13600+8600</f>
        <v>56913.2</v>
      </c>
      <c r="I1261" s="88">
        <v>32400</v>
      </c>
      <c r="J1261" s="89"/>
      <c r="K1261" s="89">
        <v>49800</v>
      </c>
      <c r="L1261" s="89">
        <f t="shared" si="38"/>
        <v>139113.20000000001</v>
      </c>
      <c r="M1261" s="87">
        <f t="shared" si="39"/>
        <v>139113.20000000001</v>
      </c>
      <c r="N1261" s="89"/>
      <c r="O1261" s="89"/>
      <c r="P1261" s="48">
        <v>41299</v>
      </c>
      <c r="Q1261" s="68">
        <v>42029</v>
      </c>
      <c r="R1261" s="49">
        <v>12554</v>
      </c>
    </row>
    <row r="1262" spans="1:18" s="1" customFormat="1" ht="38.25" x14ac:dyDescent="0.2">
      <c r="A1262" s="45" t="s">
        <v>3706</v>
      </c>
      <c r="B1262" s="57">
        <v>35096</v>
      </c>
      <c r="C1262" s="50" t="s">
        <v>238</v>
      </c>
      <c r="D1262" s="50" t="s">
        <v>3707</v>
      </c>
      <c r="E1262" s="80" t="s">
        <v>3694</v>
      </c>
      <c r="F1262" s="50" t="s">
        <v>87</v>
      </c>
      <c r="G1262" s="60" t="s">
        <v>3708</v>
      </c>
      <c r="H1262" s="88">
        <f>9000+3000+5280+57000</f>
        <v>74280</v>
      </c>
      <c r="I1262" s="88">
        <v>32400</v>
      </c>
      <c r="J1262" s="89"/>
      <c r="K1262" s="89">
        <v>5230</v>
      </c>
      <c r="L1262" s="89">
        <f t="shared" si="38"/>
        <v>111910</v>
      </c>
      <c r="M1262" s="87">
        <f t="shared" si="39"/>
        <v>111910</v>
      </c>
      <c r="N1262" s="89"/>
      <c r="O1262" s="89"/>
      <c r="P1262" s="48">
        <v>41299</v>
      </c>
      <c r="Q1262" s="68">
        <v>42485</v>
      </c>
      <c r="R1262" s="49">
        <v>12552</v>
      </c>
    </row>
    <row r="1263" spans="1:18" s="1" customFormat="1" ht="63.75" x14ac:dyDescent="0.2">
      <c r="A1263" s="45" t="s">
        <v>3709</v>
      </c>
      <c r="B1263" s="57">
        <v>35143</v>
      </c>
      <c r="C1263" s="50" t="s">
        <v>19</v>
      </c>
      <c r="D1263" s="50" t="s">
        <v>3710</v>
      </c>
      <c r="E1263" s="80" t="s">
        <v>3694</v>
      </c>
      <c r="F1263" s="50" t="s">
        <v>87</v>
      </c>
      <c r="G1263" s="60" t="s">
        <v>3711</v>
      </c>
      <c r="H1263" s="88">
        <f>44300+6000+10100</f>
        <v>60400</v>
      </c>
      <c r="I1263" s="88">
        <v>32400</v>
      </c>
      <c r="J1263" s="89"/>
      <c r="K1263" s="89">
        <v>69100</v>
      </c>
      <c r="L1263" s="89">
        <f t="shared" si="38"/>
        <v>161900</v>
      </c>
      <c r="M1263" s="87">
        <f t="shared" si="39"/>
        <v>161900</v>
      </c>
      <c r="N1263" s="89"/>
      <c r="O1263" s="89"/>
      <c r="P1263" s="48">
        <v>41299</v>
      </c>
      <c r="Q1263" s="68">
        <v>42722</v>
      </c>
      <c r="R1263" s="49">
        <v>12563</v>
      </c>
    </row>
    <row r="1264" spans="1:18" s="1" customFormat="1" ht="51" x14ac:dyDescent="0.2">
      <c r="A1264" s="45" t="s">
        <v>3712</v>
      </c>
      <c r="B1264" s="57">
        <v>35197</v>
      </c>
      <c r="C1264" s="50" t="s">
        <v>19</v>
      </c>
      <c r="D1264" s="50" t="s">
        <v>3713</v>
      </c>
      <c r="E1264" s="80" t="s">
        <v>3694</v>
      </c>
      <c r="F1264" s="50" t="s">
        <v>87</v>
      </c>
      <c r="G1264" s="60" t="s">
        <v>3714</v>
      </c>
      <c r="H1264" s="88">
        <f>222720</f>
        <v>222720</v>
      </c>
      <c r="I1264" s="88">
        <v>19200</v>
      </c>
      <c r="J1264" s="89"/>
      <c r="K1264" s="89">
        <v>160000</v>
      </c>
      <c r="L1264" s="89">
        <f t="shared" si="38"/>
        <v>401920</v>
      </c>
      <c r="M1264" s="87">
        <f t="shared" si="39"/>
        <v>401920</v>
      </c>
      <c r="N1264" s="89"/>
      <c r="O1264" s="89"/>
      <c r="P1264" s="48">
        <v>41299</v>
      </c>
      <c r="Q1264" s="68">
        <v>42722</v>
      </c>
      <c r="R1264" s="49">
        <v>12562</v>
      </c>
    </row>
    <row r="1265" spans="1:18" s="1" customFormat="1" ht="114.75" x14ac:dyDescent="0.2">
      <c r="A1265" s="45" t="s">
        <v>3715</v>
      </c>
      <c r="B1265" s="57">
        <v>34955</v>
      </c>
      <c r="C1265" s="50" t="s">
        <v>66</v>
      </c>
      <c r="D1265" s="50" t="s">
        <v>3716</v>
      </c>
      <c r="E1265" s="80" t="s">
        <v>3694</v>
      </c>
      <c r="F1265" s="50" t="s">
        <v>87</v>
      </c>
      <c r="G1265" s="60" t="s">
        <v>3717</v>
      </c>
      <c r="H1265" s="88">
        <f>152550</f>
        <v>152550</v>
      </c>
      <c r="I1265" s="88">
        <v>22800</v>
      </c>
      <c r="J1265" s="89"/>
      <c r="K1265" s="89">
        <v>135640</v>
      </c>
      <c r="L1265" s="89">
        <f t="shared" si="38"/>
        <v>310990</v>
      </c>
      <c r="M1265" s="87">
        <f t="shared" si="39"/>
        <v>310990</v>
      </c>
      <c r="N1265" s="89"/>
      <c r="O1265" s="89"/>
      <c r="P1265" s="48">
        <v>41299</v>
      </c>
      <c r="Q1265" s="68">
        <v>42722</v>
      </c>
      <c r="R1265" s="49">
        <v>12569</v>
      </c>
    </row>
    <row r="1266" spans="1:18" s="1" customFormat="1" ht="38.25" x14ac:dyDescent="0.2">
      <c r="A1266" s="45" t="s">
        <v>3718</v>
      </c>
      <c r="B1266" s="57">
        <v>35008</v>
      </c>
      <c r="C1266" s="50" t="s">
        <v>66</v>
      </c>
      <c r="D1266" s="50" t="s">
        <v>3719</v>
      </c>
      <c r="E1266" s="80" t="s">
        <v>3694</v>
      </c>
      <c r="F1266" s="50" t="s">
        <v>94</v>
      </c>
      <c r="G1266" s="60" t="s">
        <v>3720</v>
      </c>
      <c r="H1266" s="88">
        <f>94889.16</f>
        <v>94889.16</v>
      </c>
      <c r="I1266" s="88">
        <v>13200</v>
      </c>
      <c r="J1266" s="89"/>
      <c r="K1266" s="89">
        <v>59357</v>
      </c>
      <c r="L1266" s="89">
        <f t="shared" si="38"/>
        <v>167446.16</v>
      </c>
      <c r="M1266" s="87">
        <f t="shared" si="39"/>
        <v>167446.16</v>
      </c>
      <c r="N1266" s="89"/>
      <c r="O1266" s="89"/>
      <c r="P1266" s="48">
        <v>41299</v>
      </c>
      <c r="Q1266" s="68">
        <v>42428</v>
      </c>
      <c r="R1266" s="49">
        <v>12540</v>
      </c>
    </row>
    <row r="1267" spans="1:18" s="1" customFormat="1" ht="38.25" x14ac:dyDescent="0.2">
      <c r="A1267" s="45" t="s">
        <v>3721</v>
      </c>
      <c r="B1267" s="57">
        <v>35037</v>
      </c>
      <c r="C1267" s="50" t="s">
        <v>66</v>
      </c>
      <c r="D1267" s="50" t="s">
        <v>3722</v>
      </c>
      <c r="E1267" s="80" t="s">
        <v>3694</v>
      </c>
      <c r="F1267" s="50" t="s">
        <v>87</v>
      </c>
      <c r="G1267" s="60" t="s">
        <v>3723</v>
      </c>
      <c r="H1267" s="88">
        <f>15200+3923.5+2858.2+24800</f>
        <v>46781.7</v>
      </c>
      <c r="I1267" s="88">
        <v>32400</v>
      </c>
      <c r="J1267" s="89"/>
      <c r="K1267" s="89">
        <v>90087.24</v>
      </c>
      <c r="L1267" s="89">
        <f t="shared" si="38"/>
        <v>169268.94</v>
      </c>
      <c r="M1267" s="87">
        <f t="shared" si="39"/>
        <v>169268.94</v>
      </c>
      <c r="N1267" s="89"/>
      <c r="O1267" s="89"/>
      <c r="P1267" s="48">
        <v>41299</v>
      </c>
      <c r="Q1267" s="68">
        <v>42722</v>
      </c>
      <c r="R1267" s="49">
        <v>12565</v>
      </c>
    </row>
    <row r="1268" spans="1:18" s="1" customFormat="1" ht="25.5" x14ac:dyDescent="0.2">
      <c r="A1268" s="45" t="s">
        <v>3724</v>
      </c>
      <c r="B1268" s="57">
        <v>35199</v>
      </c>
      <c r="C1268" s="50" t="s">
        <v>66</v>
      </c>
      <c r="D1268" s="50" t="s">
        <v>3725</v>
      </c>
      <c r="E1268" s="80" t="s">
        <v>3694</v>
      </c>
      <c r="F1268" s="50" t="s">
        <v>3695</v>
      </c>
      <c r="G1268" s="60" t="s">
        <v>3726</v>
      </c>
      <c r="H1268" s="88">
        <f>6500+3000+13500</f>
        <v>23000</v>
      </c>
      <c r="I1268" s="88">
        <v>32400</v>
      </c>
      <c r="J1268" s="89"/>
      <c r="K1268" s="89">
        <v>37000</v>
      </c>
      <c r="L1268" s="89">
        <f t="shared" si="38"/>
        <v>92400</v>
      </c>
      <c r="M1268" s="87">
        <f t="shared" si="39"/>
        <v>92400</v>
      </c>
      <c r="N1268" s="89"/>
      <c r="O1268" s="89"/>
      <c r="P1268" s="48">
        <v>41299</v>
      </c>
      <c r="Q1268" s="68">
        <v>42272</v>
      </c>
      <c r="R1268" s="49">
        <v>12567</v>
      </c>
    </row>
    <row r="1269" spans="1:18" s="1" customFormat="1" ht="51" x14ac:dyDescent="0.2">
      <c r="A1269" s="45" t="s">
        <v>3727</v>
      </c>
      <c r="B1269" s="57">
        <v>34935</v>
      </c>
      <c r="C1269" s="50" t="s">
        <v>35</v>
      </c>
      <c r="D1269" s="50" t="s">
        <v>3728</v>
      </c>
      <c r="E1269" s="80" t="s">
        <v>3694</v>
      </c>
      <c r="F1269" s="50" t="s">
        <v>87</v>
      </c>
      <c r="G1269" s="60" t="s">
        <v>3729</v>
      </c>
      <c r="H1269" s="88">
        <f>60990+5000</f>
        <v>65990</v>
      </c>
      <c r="I1269" s="88">
        <v>32400</v>
      </c>
      <c r="J1269" s="89"/>
      <c r="K1269" s="89">
        <v>54900</v>
      </c>
      <c r="L1269" s="89">
        <f t="shared" si="38"/>
        <v>153290</v>
      </c>
      <c r="M1269" s="87">
        <f t="shared" si="39"/>
        <v>153290</v>
      </c>
      <c r="N1269" s="89"/>
      <c r="O1269" s="89"/>
      <c r="P1269" s="48">
        <v>41299</v>
      </c>
      <c r="Q1269" s="68">
        <v>42722</v>
      </c>
      <c r="R1269" s="49">
        <v>12551</v>
      </c>
    </row>
    <row r="1270" spans="1:18" s="1" customFormat="1" ht="63.75" x14ac:dyDescent="0.2">
      <c r="A1270" s="45" t="s">
        <v>3730</v>
      </c>
      <c r="B1270" s="57">
        <v>34925</v>
      </c>
      <c r="C1270" s="50" t="s">
        <v>35</v>
      </c>
      <c r="D1270" s="50" t="s">
        <v>3731</v>
      </c>
      <c r="E1270" s="80" t="s">
        <v>3694</v>
      </c>
      <c r="F1270" s="50" t="s">
        <v>87</v>
      </c>
      <c r="G1270" s="60" t="s">
        <v>3732</v>
      </c>
      <c r="H1270" s="88">
        <f>10980+6088+8017.6+48700</f>
        <v>73785.600000000006</v>
      </c>
      <c r="I1270" s="88">
        <v>27600</v>
      </c>
      <c r="J1270" s="89"/>
      <c r="K1270" s="89">
        <v>38078.379999999997</v>
      </c>
      <c r="L1270" s="89">
        <f t="shared" si="38"/>
        <v>139463.98000000001</v>
      </c>
      <c r="M1270" s="87">
        <f t="shared" si="39"/>
        <v>139463.98000000001</v>
      </c>
      <c r="N1270" s="89"/>
      <c r="O1270" s="89"/>
      <c r="P1270" s="48">
        <v>41299</v>
      </c>
      <c r="Q1270" s="68">
        <v>42418</v>
      </c>
      <c r="R1270" s="49">
        <v>12550</v>
      </c>
    </row>
    <row r="1271" spans="1:18" s="1" customFormat="1" ht="38.25" x14ac:dyDescent="0.2">
      <c r="A1271" s="45" t="s">
        <v>3733</v>
      </c>
      <c r="B1271" s="57">
        <v>34996</v>
      </c>
      <c r="C1271" s="50" t="s">
        <v>35</v>
      </c>
      <c r="D1271" s="50" t="s">
        <v>3734</v>
      </c>
      <c r="E1271" s="80" t="s">
        <v>3694</v>
      </c>
      <c r="F1271" s="50" t="s">
        <v>87</v>
      </c>
      <c r="G1271" s="60" t="s">
        <v>3735</v>
      </c>
      <c r="H1271" s="88">
        <f>9250+11200+4000+44040</f>
        <v>68490</v>
      </c>
      <c r="I1271" s="88">
        <v>32400</v>
      </c>
      <c r="J1271" s="89"/>
      <c r="K1271" s="89">
        <v>21725</v>
      </c>
      <c r="L1271" s="89">
        <f t="shared" si="38"/>
        <v>122615</v>
      </c>
      <c r="M1271" s="87">
        <f t="shared" si="39"/>
        <v>122615</v>
      </c>
      <c r="N1271" s="89"/>
      <c r="O1271" s="89"/>
      <c r="P1271" s="48">
        <v>41299</v>
      </c>
      <c r="Q1271" s="68">
        <v>42418</v>
      </c>
      <c r="R1271" s="49">
        <v>12555</v>
      </c>
    </row>
    <row r="1272" spans="1:18" s="1" customFormat="1" ht="51" x14ac:dyDescent="0.2">
      <c r="A1272" s="45" t="s">
        <v>3736</v>
      </c>
      <c r="B1272" s="57">
        <v>35082</v>
      </c>
      <c r="C1272" s="50" t="s">
        <v>35</v>
      </c>
      <c r="D1272" s="50" t="s">
        <v>3737</v>
      </c>
      <c r="E1272" s="80" t="s">
        <v>3694</v>
      </c>
      <c r="F1272" s="50" t="s">
        <v>87</v>
      </c>
      <c r="G1272" s="60" t="s">
        <v>3738</v>
      </c>
      <c r="H1272" s="88">
        <f>1800+8485.8+7000+20500</f>
        <v>37785.800000000003</v>
      </c>
      <c r="I1272" s="88">
        <v>32400</v>
      </c>
      <c r="J1272" s="89"/>
      <c r="K1272" s="89">
        <v>48085</v>
      </c>
      <c r="L1272" s="89">
        <f t="shared" si="38"/>
        <v>118270.8</v>
      </c>
      <c r="M1272" s="87">
        <f t="shared" si="39"/>
        <v>118270.8</v>
      </c>
      <c r="N1272" s="89"/>
      <c r="O1272" s="89"/>
      <c r="P1272" s="48">
        <v>41299</v>
      </c>
      <c r="Q1272" s="68">
        <v>42722</v>
      </c>
      <c r="R1272" s="49">
        <v>12556</v>
      </c>
    </row>
    <row r="1273" spans="1:18" s="1" customFormat="1" ht="76.5" x14ac:dyDescent="0.2">
      <c r="A1273" s="45" t="s">
        <v>3739</v>
      </c>
      <c r="B1273" s="57">
        <v>35097</v>
      </c>
      <c r="C1273" s="50" t="s">
        <v>35</v>
      </c>
      <c r="D1273" s="50" t="s">
        <v>2504</v>
      </c>
      <c r="E1273" s="80" t="s">
        <v>3694</v>
      </c>
      <c r="F1273" s="50" t="s">
        <v>94</v>
      </c>
      <c r="G1273" s="60" t="s">
        <v>3740</v>
      </c>
      <c r="H1273" s="88">
        <f>193056</f>
        <v>193056</v>
      </c>
      <c r="I1273" s="88"/>
      <c r="J1273" s="89"/>
      <c r="K1273" s="89">
        <v>127396</v>
      </c>
      <c r="L1273" s="89">
        <f t="shared" si="38"/>
        <v>320452</v>
      </c>
      <c r="M1273" s="87">
        <f t="shared" si="39"/>
        <v>320452</v>
      </c>
      <c r="N1273" s="89"/>
      <c r="O1273" s="89"/>
      <c r="P1273" s="48">
        <v>41299</v>
      </c>
      <c r="Q1273" s="68">
        <v>42722</v>
      </c>
      <c r="R1273" s="49">
        <v>12557</v>
      </c>
    </row>
    <row r="1274" spans="1:18" s="1" customFormat="1" ht="51" x14ac:dyDescent="0.2">
      <c r="A1274" s="45" t="s">
        <v>3741</v>
      </c>
      <c r="B1274" s="57">
        <v>35165</v>
      </c>
      <c r="C1274" s="50" t="s">
        <v>35</v>
      </c>
      <c r="D1274" s="50" t="s">
        <v>3742</v>
      </c>
      <c r="E1274" s="80" t="s">
        <v>3694</v>
      </c>
      <c r="F1274" s="50" t="s">
        <v>87</v>
      </c>
      <c r="G1274" s="60" t="s">
        <v>3743</v>
      </c>
      <c r="H1274" s="88">
        <f>111373.14+35000</f>
        <v>146373.14000000001</v>
      </c>
      <c r="I1274" s="88">
        <v>19200</v>
      </c>
      <c r="J1274" s="89"/>
      <c r="K1274" s="89">
        <v>78889</v>
      </c>
      <c r="L1274" s="89">
        <f t="shared" si="38"/>
        <v>244462.14</v>
      </c>
      <c r="M1274" s="87">
        <f t="shared" si="39"/>
        <v>244462.14</v>
      </c>
      <c r="N1274" s="89"/>
      <c r="O1274" s="89"/>
      <c r="P1274" s="48">
        <v>41299</v>
      </c>
      <c r="Q1274" s="68">
        <v>42722</v>
      </c>
      <c r="R1274" s="49">
        <v>12558</v>
      </c>
    </row>
    <row r="1275" spans="1:18" s="1" customFormat="1" ht="38.25" x14ac:dyDescent="0.2">
      <c r="A1275" s="45" t="s">
        <v>3744</v>
      </c>
      <c r="B1275" s="57">
        <v>35175</v>
      </c>
      <c r="C1275" s="50" t="s">
        <v>35</v>
      </c>
      <c r="D1275" s="50" t="s">
        <v>3745</v>
      </c>
      <c r="E1275" s="80" t="s">
        <v>3694</v>
      </c>
      <c r="F1275" s="50" t="s">
        <v>87</v>
      </c>
      <c r="G1275" s="60" t="s">
        <v>3746</v>
      </c>
      <c r="H1275" s="88">
        <f>58400+4500+22500+48000</f>
        <v>133400</v>
      </c>
      <c r="I1275" s="88">
        <v>32400</v>
      </c>
      <c r="J1275" s="89"/>
      <c r="K1275" s="89">
        <v>17250</v>
      </c>
      <c r="L1275" s="89">
        <f t="shared" si="38"/>
        <v>183050</v>
      </c>
      <c r="M1275" s="87">
        <f t="shared" si="39"/>
        <v>183050</v>
      </c>
      <c r="N1275" s="89"/>
      <c r="O1275" s="89"/>
      <c r="P1275" s="48">
        <v>41299</v>
      </c>
      <c r="Q1275" s="68">
        <v>42722</v>
      </c>
      <c r="R1275" s="49">
        <v>12559</v>
      </c>
    </row>
    <row r="1276" spans="1:18" s="1" customFormat="1" ht="25.5" x14ac:dyDescent="0.2">
      <c r="A1276" s="45" t="s">
        <v>3747</v>
      </c>
      <c r="B1276" s="64">
        <v>34738</v>
      </c>
      <c r="C1276" s="50" t="s">
        <v>66</v>
      </c>
      <c r="D1276" s="50" t="s">
        <v>3748</v>
      </c>
      <c r="E1276" s="80" t="s">
        <v>3749</v>
      </c>
      <c r="F1276" s="81" t="s">
        <v>167</v>
      </c>
      <c r="G1276" s="50" t="s">
        <v>3750</v>
      </c>
      <c r="H1276" s="88"/>
      <c r="I1276" s="88">
        <f>64800+32400</f>
        <v>97200</v>
      </c>
      <c r="J1276" s="89"/>
      <c r="K1276" s="89"/>
      <c r="L1276" s="89">
        <f t="shared" si="38"/>
        <v>97200</v>
      </c>
      <c r="M1276" s="87">
        <f t="shared" si="39"/>
        <v>97200</v>
      </c>
      <c r="N1276" s="89"/>
      <c r="O1276" s="89"/>
      <c r="P1276" s="48">
        <v>41306</v>
      </c>
      <c r="Q1276" s="68">
        <v>42723</v>
      </c>
      <c r="R1276" s="49">
        <v>14205</v>
      </c>
    </row>
    <row r="1277" spans="1:18" s="1" customFormat="1" ht="38.25" x14ac:dyDescent="0.2">
      <c r="A1277" s="45" t="s">
        <v>3751</v>
      </c>
      <c r="B1277" s="64">
        <v>35048</v>
      </c>
      <c r="C1277" s="50" t="s">
        <v>2690</v>
      </c>
      <c r="D1277" s="50" t="s">
        <v>3752</v>
      </c>
      <c r="E1277" s="80" t="s">
        <v>3749</v>
      </c>
      <c r="F1277" s="81" t="s">
        <v>167</v>
      </c>
      <c r="G1277" s="50" t="s">
        <v>3753</v>
      </c>
      <c r="H1277" s="88"/>
      <c r="I1277" s="88">
        <v>64800</v>
      </c>
      <c r="J1277" s="89"/>
      <c r="K1277" s="89"/>
      <c r="L1277" s="89">
        <f t="shared" si="38"/>
        <v>64800</v>
      </c>
      <c r="M1277" s="87">
        <f t="shared" si="39"/>
        <v>64800</v>
      </c>
      <c r="N1277" s="89"/>
      <c r="O1277" s="89"/>
      <c r="P1277" s="48">
        <v>41306</v>
      </c>
      <c r="Q1277" s="68">
        <v>42036</v>
      </c>
      <c r="R1277" s="49">
        <v>14193</v>
      </c>
    </row>
    <row r="1278" spans="1:18" s="1" customFormat="1" ht="25.5" x14ac:dyDescent="0.2">
      <c r="A1278" s="45" t="s">
        <v>3754</v>
      </c>
      <c r="B1278" s="64">
        <v>35049</v>
      </c>
      <c r="C1278" s="50" t="s">
        <v>19</v>
      </c>
      <c r="D1278" s="50" t="s">
        <v>3755</v>
      </c>
      <c r="E1278" s="80" t="s">
        <v>3749</v>
      </c>
      <c r="F1278" s="81" t="s">
        <v>167</v>
      </c>
      <c r="G1278" s="50" t="s">
        <v>3756</v>
      </c>
      <c r="H1278" s="88"/>
      <c r="I1278" s="88">
        <f>64800+32400</f>
        <v>97200</v>
      </c>
      <c r="J1278" s="89"/>
      <c r="K1278" s="89"/>
      <c r="L1278" s="89">
        <f t="shared" si="38"/>
        <v>97200</v>
      </c>
      <c r="M1278" s="87">
        <f t="shared" si="39"/>
        <v>97200</v>
      </c>
      <c r="N1278" s="89"/>
      <c r="O1278" s="89"/>
      <c r="P1278" s="48">
        <v>41299</v>
      </c>
      <c r="Q1278" s="68">
        <v>42850</v>
      </c>
      <c r="R1278" s="49">
        <v>12665</v>
      </c>
    </row>
    <row r="1279" spans="1:18" s="1" customFormat="1" ht="25.5" x14ac:dyDescent="0.2">
      <c r="A1279" s="45" t="s">
        <v>3757</v>
      </c>
      <c r="B1279" s="64">
        <v>35209</v>
      </c>
      <c r="C1279" s="50" t="s">
        <v>238</v>
      </c>
      <c r="D1279" s="50" t="s">
        <v>3758</v>
      </c>
      <c r="E1279" s="80" t="s">
        <v>3749</v>
      </c>
      <c r="F1279" s="81" t="s">
        <v>167</v>
      </c>
      <c r="G1279" s="50" t="s">
        <v>3759</v>
      </c>
      <c r="H1279" s="88"/>
      <c r="I1279" s="88">
        <f>32400+32400</f>
        <v>64800</v>
      </c>
      <c r="J1279" s="89"/>
      <c r="K1279" s="89"/>
      <c r="L1279" s="89">
        <f t="shared" si="38"/>
        <v>64800</v>
      </c>
      <c r="M1279" s="87">
        <f t="shared" si="39"/>
        <v>64800</v>
      </c>
      <c r="N1279" s="89"/>
      <c r="O1279" s="89"/>
      <c r="P1279" s="48">
        <v>41306</v>
      </c>
      <c r="Q1279" s="68">
        <v>42767</v>
      </c>
      <c r="R1279" s="49">
        <v>13127</v>
      </c>
    </row>
    <row r="1280" spans="1:18" s="1" customFormat="1" ht="63.75" x14ac:dyDescent="0.2">
      <c r="A1280" s="45" t="s">
        <v>3760</v>
      </c>
      <c r="B1280" s="45">
        <v>34539</v>
      </c>
      <c r="C1280" s="50" t="s">
        <v>66</v>
      </c>
      <c r="D1280" s="50" t="s">
        <v>625</v>
      </c>
      <c r="E1280" s="80" t="s">
        <v>3761</v>
      </c>
      <c r="F1280" s="81" t="s">
        <v>167</v>
      </c>
      <c r="G1280" s="50" t="s">
        <v>3762</v>
      </c>
      <c r="H1280" s="88">
        <f>5400+1897</f>
        <v>7297</v>
      </c>
      <c r="I1280" s="88"/>
      <c r="J1280" s="89"/>
      <c r="K1280" s="89">
        <v>21690</v>
      </c>
      <c r="L1280" s="89">
        <f t="shared" si="38"/>
        <v>28987</v>
      </c>
      <c r="M1280" s="87">
        <f t="shared" si="39"/>
        <v>28987</v>
      </c>
      <c r="N1280" s="89"/>
      <c r="O1280" s="89"/>
      <c r="P1280" s="48">
        <v>41299</v>
      </c>
      <c r="Q1280" s="68">
        <v>42394</v>
      </c>
      <c r="R1280" s="49">
        <v>12668</v>
      </c>
    </row>
    <row r="1281" spans="1:38" ht="38.25" x14ac:dyDescent="0.2">
      <c r="A1281" s="45" t="s">
        <v>3763</v>
      </c>
      <c r="B1281" s="45">
        <v>34519</v>
      </c>
      <c r="C1281" s="50" t="s">
        <v>43</v>
      </c>
      <c r="D1281" s="50" t="s">
        <v>3764</v>
      </c>
      <c r="E1281" s="80" t="s">
        <v>3761</v>
      </c>
      <c r="F1281" s="50" t="s">
        <v>94</v>
      </c>
      <c r="G1281" s="50" t="s">
        <v>3765</v>
      </c>
      <c r="H1281" s="88">
        <f>26400+27000</f>
        <v>53400</v>
      </c>
      <c r="I1281" s="88"/>
      <c r="J1281" s="89"/>
      <c r="K1281" s="89">
        <v>22890</v>
      </c>
      <c r="L1281" s="89">
        <f t="shared" si="38"/>
        <v>76290</v>
      </c>
      <c r="M1281" s="87">
        <f t="shared" si="39"/>
        <v>76290</v>
      </c>
      <c r="N1281" s="89"/>
      <c r="O1281" s="89"/>
      <c r="P1281" s="48">
        <v>41306</v>
      </c>
      <c r="Q1281" s="68">
        <v>42401</v>
      </c>
      <c r="R1281" s="49">
        <v>13134</v>
      </c>
    </row>
    <row r="1282" spans="1:38" ht="76.5" x14ac:dyDescent="0.2">
      <c r="A1282" s="45" t="s">
        <v>3766</v>
      </c>
      <c r="B1282" s="45">
        <v>34484</v>
      </c>
      <c r="C1282" s="50" t="s">
        <v>457</v>
      </c>
      <c r="D1282" s="50" t="s">
        <v>3767</v>
      </c>
      <c r="E1282" s="80" t="s">
        <v>3761</v>
      </c>
      <c r="F1282" s="81" t="s">
        <v>167</v>
      </c>
      <c r="G1282" s="50" t="s">
        <v>3768</v>
      </c>
      <c r="H1282" s="88">
        <f>22961</f>
        <v>22961</v>
      </c>
      <c r="I1282" s="88">
        <v>68400</v>
      </c>
      <c r="J1282" s="89"/>
      <c r="K1282" s="89">
        <v>48200</v>
      </c>
      <c r="L1282" s="89">
        <f t="shared" si="38"/>
        <v>139561</v>
      </c>
      <c r="M1282" s="87">
        <f t="shared" si="39"/>
        <v>139561</v>
      </c>
      <c r="N1282" s="89"/>
      <c r="O1282" s="89"/>
      <c r="P1282" s="48">
        <v>41299</v>
      </c>
      <c r="Q1282" s="68">
        <v>42735</v>
      </c>
      <c r="R1282" s="49">
        <v>12841</v>
      </c>
    </row>
    <row r="1283" spans="1:38" ht="63.75" x14ac:dyDescent="0.2">
      <c r="A1283" s="106" t="s">
        <v>3769</v>
      </c>
      <c r="B1283" s="106">
        <v>34404</v>
      </c>
      <c r="C1283" s="107" t="s">
        <v>507</v>
      </c>
      <c r="D1283" s="107" t="s">
        <v>1148</v>
      </c>
      <c r="E1283" s="108" t="s">
        <v>3761</v>
      </c>
      <c r="F1283" s="107" t="s">
        <v>94</v>
      </c>
      <c r="G1283" s="107" t="s">
        <v>3770</v>
      </c>
      <c r="H1283" s="109">
        <v>28762</v>
      </c>
      <c r="I1283" s="109">
        <v>26400</v>
      </c>
      <c r="J1283" s="110"/>
      <c r="K1283" s="110"/>
      <c r="L1283" s="110">
        <f t="shared" si="38"/>
        <v>55162</v>
      </c>
      <c r="M1283" s="111">
        <f t="shared" si="39"/>
        <v>55162</v>
      </c>
      <c r="N1283" s="110"/>
      <c r="O1283" s="110"/>
      <c r="P1283" s="112">
        <v>41299</v>
      </c>
      <c r="Q1283" s="113">
        <v>42394</v>
      </c>
      <c r="R1283" s="114">
        <v>12766</v>
      </c>
    </row>
    <row r="1284" spans="1:38" s="105" customFormat="1" ht="24.75" customHeight="1" x14ac:dyDescent="0.2">
      <c r="A1284" s="115"/>
      <c r="B1284" s="115"/>
      <c r="C1284" s="116"/>
      <c r="D1284" s="116"/>
      <c r="E1284" s="116"/>
      <c r="F1284" s="116"/>
      <c r="G1284" s="116"/>
      <c r="H1284" s="117">
        <f>SUM(H6:H1283)</f>
        <v>12595766.329999994</v>
      </c>
      <c r="I1284" s="117">
        <f>SUM(I6:I1283)</f>
        <v>24475559</v>
      </c>
      <c r="J1284" s="118"/>
      <c r="K1284" s="118">
        <f>SUM(K6:K1283)</f>
        <v>8567675.0600000005</v>
      </c>
      <c r="L1284" s="118">
        <f>SUM(L6:L1283)</f>
        <v>45639000.390000008</v>
      </c>
      <c r="M1284" s="118">
        <f>SUM(M6:M1283)</f>
        <v>45569730.590000011</v>
      </c>
      <c r="N1284" s="118"/>
      <c r="O1284" s="118"/>
      <c r="P1284" s="119"/>
      <c r="Q1284" s="119"/>
      <c r="R1284" s="120"/>
      <c r="S1284" s="104"/>
      <c r="T1284" s="104"/>
      <c r="U1284" s="104"/>
      <c r="V1284" s="104"/>
      <c r="W1284" s="104"/>
      <c r="X1284" s="104"/>
      <c r="Y1284" s="104"/>
      <c r="Z1284" s="104"/>
      <c r="AA1284" s="104"/>
      <c r="AB1284" s="104"/>
      <c r="AC1284" s="104"/>
      <c r="AD1284" s="104"/>
      <c r="AE1284" s="104"/>
      <c r="AF1284" s="104"/>
      <c r="AG1284" s="104"/>
      <c r="AH1284" s="104"/>
      <c r="AI1284" s="104"/>
      <c r="AJ1284" s="104"/>
      <c r="AK1284" s="104"/>
      <c r="AL1284" s="104"/>
    </row>
    <row r="1286" spans="1:38" ht="16.5" x14ac:dyDescent="0.3">
      <c r="B1286" s="129"/>
      <c r="C1286" s="130"/>
      <c r="D1286" s="131"/>
      <c r="E1286" s="130"/>
      <c r="F1286" s="130"/>
      <c r="G1286" s="130"/>
      <c r="H1286" s="130"/>
      <c r="I1286" s="132"/>
      <c r="J1286" s="132"/>
      <c r="K1286" s="133"/>
      <c r="L1286" s="133"/>
      <c r="M1286" s="133"/>
      <c r="N1286" s="134"/>
      <c r="O1286" s="137" t="s">
        <v>3774</v>
      </c>
      <c r="P1286" s="133"/>
      <c r="Q1286" s="133"/>
      <c r="R1286" s="136"/>
      <c r="T1286" s="138"/>
      <c r="U1286" s="139"/>
      <c r="V1286" s="140"/>
    </row>
    <row r="1287" spans="1:38" ht="16.5" x14ac:dyDescent="0.3">
      <c r="B1287" s="129"/>
      <c r="C1287" s="130"/>
      <c r="D1287" s="130"/>
      <c r="E1287" s="130"/>
      <c r="F1287" s="130"/>
      <c r="G1287" s="130"/>
      <c r="H1287" s="130"/>
      <c r="I1287" s="132"/>
      <c r="J1287" s="132"/>
      <c r="K1287" s="133"/>
      <c r="L1287" s="133"/>
      <c r="M1287" s="133"/>
      <c r="N1287" s="134"/>
      <c r="O1287" s="137" t="s">
        <v>3775</v>
      </c>
      <c r="P1287" s="133"/>
      <c r="Q1287" s="141"/>
      <c r="R1287" s="136"/>
      <c r="T1287" s="138"/>
      <c r="U1287" s="139"/>
      <c r="V1287" s="131"/>
    </row>
    <row r="1288" spans="1:38" x14ac:dyDescent="0.2">
      <c r="B1288" s="129"/>
      <c r="C1288" s="130"/>
      <c r="D1288" s="130"/>
      <c r="E1288" s="130"/>
      <c r="F1288" s="130"/>
      <c r="G1288" s="142"/>
      <c r="H1288" s="142"/>
      <c r="I1288" s="132"/>
      <c r="J1288" s="132"/>
      <c r="K1288" s="133"/>
      <c r="L1288" s="133"/>
      <c r="M1288" s="133"/>
      <c r="N1288" s="134"/>
      <c r="O1288" s="135"/>
      <c r="P1288" s="133"/>
      <c r="Q1288" s="133"/>
      <c r="R1288" s="136"/>
      <c r="S1288" s="143"/>
      <c r="T1288" s="144"/>
      <c r="U1288" s="145"/>
      <c r="V1288" s="129"/>
    </row>
    <row r="1289" spans="1:38" x14ac:dyDescent="0.2">
      <c r="B1289" s="129"/>
      <c r="C1289" s="130"/>
      <c r="D1289" s="130"/>
      <c r="E1289" s="130"/>
      <c r="F1289" s="130"/>
      <c r="G1289" s="130"/>
      <c r="H1289" s="140"/>
      <c r="I1289" s="132"/>
      <c r="J1289" s="132"/>
      <c r="K1289" s="133"/>
      <c r="L1289" s="133"/>
      <c r="M1289" s="133"/>
      <c r="N1289" s="134"/>
      <c r="O1289" s="135"/>
      <c r="P1289" s="133"/>
      <c r="Q1289" s="133"/>
      <c r="R1289" s="136"/>
      <c r="S1289" s="143"/>
      <c r="T1289" s="144"/>
      <c r="U1289" s="145"/>
      <c r="V1289" s="129"/>
    </row>
    <row r="1290" spans="1:38" x14ac:dyDescent="0.2">
      <c r="B1290" s="129"/>
      <c r="C1290" s="130"/>
      <c r="D1290" s="130"/>
      <c r="E1290" s="130"/>
      <c r="F1290" s="130"/>
      <c r="G1290" s="130"/>
      <c r="H1290" s="130"/>
      <c r="I1290" s="132"/>
      <c r="J1290" s="132"/>
      <c r="K1290" s="133"/>
      <c r="L1290" s="133"/>
      <c r="M1290" s="133"/>
      <c r="N1290" s="134"/>
      <c r="O1290" s="135"/>
      <c r="P1290" s="133"/>
      <c r="Q1290" s="133"/>
      <c r="R1290" s="136"/>
      <c r="S1290" s="143"/>
      <c r="T1290" s="144"/>
      <c r="U1290" s="145"/>
      <c r="V1290" s="129"/>
    </row>
    <row r="1291" spans="1:38" x14ac:dyDescent="0.2">
      <c r="B1291" s="129"/>
      <c r="C1291" s="130"/>
      <c r="D1291" s="130"/>
      <c r="E1291" s="130"/>
      <c r="F1291" s="130"/>
      <c r="G1291" s="130"/>
      <c r="H1291" s="130"/>
      <c r="I1291" s="132"/>
      <c r="J1291" s="132"/>
      <c r="K1291" s="133"/>
      <c r="L1291" s="133"/>
      <c r="M1291" s="133"/>
      <c r="N1291" s="134"/>
      <c r="O1291" s="135"/>
      <c r="P1291" s="133"/>
      <c r="Q1291" s="133"/>
      <c r="R1291" s="136"/>
      <c r="S1291" s="143"/>
      <c r="T1291" s="144"/>
      <c r="U1291" s="145"/>
      <c r="V1291" s="129"/>
    </row>
    <row r="1292" spans="1:38" x14ac:dyDescent="0.2">
      <c r="B1292" s="129"/>
      <c r="C1292" s="130"/>
      <c r="D1292" s="130"/>
      <c r="E1292" s="130"/>
      <c r="F1292" s="130"/>
      <c r="G1292" s="130"/>
      <c r="H1292" s="130"/>
      <c r="I1292" s="132"/>
      <c r="J1292" s="132"/>
      <c r="K1292" s="133"/>
      <c r="L1292" s="133"/>
      <c r="M1292" s="133"/>
      <c r="N1292" s="134"/>
      <c r="O1292" s="135"/>
      <c r="P1292" s="133"/>
      <c r="Q1292" s="133"/>
      <c r="R1292" s="136"/>
      <c r="S1292" s="143"/>
      <c r="T1292" s="144"/>
      <c r="U1292" s="145"/>
      <c r="V1292" s="129"/>
    </row>
    <row r="1293" spans="1:38" x14ac:dyDescent="0.2">
      <c r="B1293" s="129"/>
      <c r="C1293" s="130"/>
      <c r="D1293" s="130"/>
      <c r="E1293" s="130"/>
      <c r="F1293" s="130"/>
      <c r="G1293" s="130"/>
      <c r="H1293" s="130"/>
      <c r="I1293" s="132"/>
      <c r="J1293" s="132"/>
      <c r="K1293" s="133"/>
      <c r="L1293" s="133"/>
      <c r="M1293" s="133"/>
      <c r="N1293" s="134"/>
      <c r="O1293" s="135"/>
      <c r="P1293" s="133"/>
      <c r="Q1293" s="133"/>
      <c r="R1293" s="136"/>
      <c r="S1293" s="143"/>
      <c r="T1293" s="144"/>
      <c r="U1293" s="145"/>
      <c r="V1293" s="129"/>
    </row>
    <row r="1294" spans="1:38" x14ac:dyDescent="0.2">
      <c r="B1294" s="149"/>
      <c r="C1294" s="130"/>
      <c r="D1294" s="130"/>
      <c r="E1294" s="130"/>
      <c r="F1294" s="130"/>
      <c r="G1294" s="142"/>
      <c r="H1294" s="142"/>
      <c r="I1294" s="132"/>
      <c r="J1294" s="132"/>
      <c r="K1294" s="133"/>
      <c r="L1294" s="133"/>
      <c r="M1294" s="133"/>
      <c r="N1294" s="134"/>
      <c r="O1294" s="135"/>
      <c r="P1294" s="133"/>
      <c r="Q1294" s="133"/>
      <c r="R1294" s="146"/>
      <c r="S1294" s="143"/>
      <c r="T1294" s="144"/>
      <c r="U1294" s="145"/>
      <c r="V1294" s="129"/>
    </row>
    <row r="1295" spans="1:38" ht="16.5" x14ac:dyDescent="0.3">
      <c r="A1295" s="150"/>
      <c r="B1295" s="151"/>
      <c r="C1295" s="152"/>
      <c r="D1295" s="147" t="s">
        <v>3776</v>
      </c>
      <c r="E1295" s="152"/>
      <c r="F1295" s="153"/>
      <c r="G1295" s="154"/>
      <c r="H1295" s="155"/>
      <c r="I1295" s="160" t="s">
        <v>3778</v>
      </c>
      <c r="J1295" s="156"/>
      <c r="K1295" s="157"/>
      <c r="L1295" s="158"/>
      <c r="M1295" s="158"/>
      <c r="N1295" s="147" t="s">
        <v>3777</v>
      </c>
      <c r="O1295" s="159"/>
      <c r="P1295" s="158"/>
      <c r="Q1295" s="148"/>
      <c r="R1295" s="146"/>
      <c r="S1295" s="143"/>
      <c r="T1295" s="144"/>
      <c r="U1295" s="145"/>
      <c r="V1295" s="129"/>
    </row>
  </sheetData>
  <sheetProtection selectLockedCells="1" selectUnlockedCells="1"/>
  <mergeCells count="3">
    <mergeCell ref="A3:R3"/>
    <mergeCell ref="A2:R2"/>
    <mergeCell ref="A1:R1"/>
  </mergeCells>
  <pageMargins left="0.19685039370078741" right="0.19685039370078741" top="0.39370078740157483" bottom="0.39370078740157483" header="0.39370078740157483" footer="0.39370078740157483"/>
  <pageSetup paperSize="9" scale="55" firstPageNumber="0" fitToHeight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38"/>
  <sheetViews>
    <sheetView zoomScale="70" zoomScaleNormal="70" workbookViewId="0">
      <selection activeCell="P30" sqref="P30"/>
    </sheetView>
  </sheetViews>
  <sheetFormatPr defaultRowHeight="12.75" x14ac:dyDescent="0.2"/>
  <cols>
    <col min="1" max="1" width="9.42578125" style="7" customWidth="1"/>
    <col min="2" max="2" width="11.140625" style="7" customWidth="1"/>
    <col min="3" max="3" width="21.140625" style="7" customWidth="1"/>
    <col min="4" max="4" width="20" style="7" customWidth="1"/>
    <col min="5" max="5" width="15.42578125" style="8" customWidth="1"/>
    <col min="6" max="6" width="10" style="8" customWidth="1"/>
    <col min="7" max="7" width="11.28515625" style="9" customWidth="1"/>
    <col min="8" max="8" width="15.5703125" style="9" customWidth="1"/>
    <col min="9" max="9" width="13.85546875" style="10" customWidth="1"/>
    <col min="10" max="10" width="15" style="11" customWidth="1"/>
    <col min="11" max="11" width="16.5703125" style="12" customWidth="1"/>
    <col min="12" max="12" width="9.85546875" style="13" customWidth="1"/>
    <col min="13" max="13" width="9.85546875" style="14" customWidth="1"/>
    <col min="14" max="35" width="9.140625" style="14"/>
    <col min="36" max="248" width="9.140625" style="15"/>
  </cols>
  <sheetData>
    <row r="1" spans="1:35" s="23" customFormat="1" x14ac:dyDescent="0.2">
      <c r="A1" s="16" t="s">
        <v>0</v>
      </c>
      <c r="B1" s="16" t="s">
        <v>1</v>
      </c>
      <c r="C1" s="16" t="s">
        <v>3</v>
      </c>
      <c r="D1" s="16" t="s">
        <v>4</v>
      </c>
      <c r="E1" s="17" t="s">
        <v>7</v>
      </c>
      <c r="F1" s="18" t="s">
        <v>8</v>
      </c>
      <c r="G1" s="19" t="s">
        <v>10</v>
      </c>
      <c r="H1" s="19" t="s">
        <v>11</v>
      </c>
      <c r="I1" s="19" t="s">
        <v>12</v>
      </c>
      <c r="J1" s="20" t="s">
        <v>15</v>
      </c>
      <c r="K1" s="20" t="s">
        <v>16</v>
      </c>
      <c r="L1" s="21" t="s">
        <v>17</v>
      </c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</row>
    <row r="2" spans="1:35" ht="24" x14ac:dyDescent="0.2">
      <c r="A2" s="24" t="s">
        <v>159</v>
      </c>
      <c r="B2" s="24">
        <v>24705</v>
      </c>
      <c r="C2" s="24" t="s">
        <v>160</v>
      </c>
      <c r="D2" s="25" t="s">
        <v>141</v>
      </c>
      <c r="E2" s="26">
        <v>50000</v>
      </c>
      <c r="F2" s="27"/>
      <c r="G2" s="28"/>
      <c r="H2" s="29">
        <f t="shared" ref="H2:H33" si="0">I2</f>
        <v>50000</v>
      </c>
      <c r="I2" s="30">
        <f t="shared" ref="I2:I33" si="1">SUM(E2:G2)</f>
        <v>50000</v>
      </c>
      <c r="J2" s="31">
        <v>41087</v>
      </c>
      <c r="K2" s="31">
        <v>41452</v>
      </c>
      <c r="L2" s="32">
        <v>10534</v>
      </c>
    </row>
    <row r="3" spans="1:35" x14ac:dyDescent="0.2">
      <c r="A3" s="25" t="s">
        <v>227</v>
      </c>
      <c r="B3" s="25">
        <v>24281</v>
      </c>
      <c r="C3" s="25" t="s">
        <v>228</v>
      </c>
      <c r="D3" s="25" t="s">
        <v>141</v>
      </c>
      <c r="E3" s="26">
        <v>50000</v>
      </c>
      <c r="F3" s="27"/>
      <c r="G3" s="28"/>
      <c r="H3" s="29">
        <f t="shared" si="0"/>
        <v>50000</v>
      </c>
      <c r="I3" s="30">
        <f t="shared" si="1"/>
        <v>50000</v>
      </c>
      <c r="J3" s="33">
        <v>41087</v>
      </c>
      <c r="K3" s="31">
        <v>41452</v>
      </c>
      <c r="L3" s="32">
        <v>10524</v>
      </c>
    </row>
    <row r="4" spans="1:35" ht="24" x14ac:dyDescent="0.2">
      <c r="A4" s="24" t="s">
        <v>1244</v>
      </c>
      <c r="B4" s="34">
        <v>4981</v>
      </c>
      <c r="C4" s="34" t="s">
        <v>1245</v>
      </c>
      <c r="D4" s="25" t="s">
        <v>585</v>
      </c>
      <c r="E4" s="26">
        <v>15000</v>
      </c>
      <c r="F4" s="27"/>
      <c r="G4" s="28"/>
      <c r="H4" s="29">
        <f t="shared" si="0"/>
        <v>15000</v>
      </c>
      <c r="I4" s="30">
        <f t="shared" si="1"/>
        <v>15000</v>
      </c>
      <c r="J4" s="35">
        <v>41088</v>
      </c>
      <c r="K4" s="31">
        <v>41818</v>
      </c>
      <c r="L4" s="32"/>
    </row>
    <row r="5" spans="1:35" ht="24" x14ac:dyDescent="0.2">
      <c r="A5" s="24" t="s">
        <v>1253</v>
      </c>
      <c r="B5" s="34">
        <v>9773</v>
      </c>
      <c r="C5" s="34" t="s">
        <v>1254</v>
      </c>
      <c r="D5" s="25" t="s">
        <v>585</v>
      </c>
      <c r="E5" s="26">
        <f>480+1098+470</f>
        <v>2048</v>
      </c>
      <c r="F5" s="27"/>
      <c r="G5" s="28">
        <f>2300+3600</f>
        <v>5900</v>
      </c>
      <c r="H5" s="29">
        <f t="shared" si="0"/>
        <v>7948</v>
      </c>
      <c r="I5" s="30">
        <f t="shared" si="1"/>
        <v>7948</v>
      </c>
      <c r="J5" s="35">
        <v>41088</v>
      </c>
      <c r="K5" s="31">
        <v>41818</v>
      </c>
      <c r="L5" s="32">
        <v>10623</v>
      </c>
    </row>
    <row r="6" spans="1:35" ht="24" x14ac:dyDescent="0.2">
      <c r="A6" s="24" t="s">
        <v>1259</v>
      </c>
      <c r="B6" s="34">
        <v>13427</v>
      </c>
      <c r="C6" s="34" t="s">
        <v>1260</v>
      </c>
      <c r="D6" s="25" t="s">
        <v>585</v>
      </c>
      <c r="E6" s="26">
        <f>20400</f>
        <v>20400</v>
      </c>
      <c r="F6" s="27">
        <v>4320</v>
      </c>
      <c r="G6" s="28">
        <v>20000</v>
      </c>
      <c r="H6" s="29">
        <f t="shared" si="0"/>
        <v>44720</v>
      </c>
      <c r="I6" s="30">
        <f t="shared" si="1"/>
        <v>44720</v>
      </c>
      <c r="J6" s="35">
        <v>41088</v>
      </c>
      <c r="K6" s="31">
        <v>41818</v>
      </c>
      <c r="L6" s="32">
        <v>10624</v>
      </c>
    </row>
    <row r="7" spans="1:35" ht="24" x14ac:dyDescent="0.2">
      <c r="A7" s="24" t="s">
        <v>1265</v>
      </c>
      <c r="B7" s="34">
        <v>15078</v>
      </c>
      <c r="C7" s="34" t="s">
        <v>1266</v>
      </c>
      <c r="D7" s="25" t="s">
        <v>585</v>
      </c>
      <c r="E7" s="26">
        <f>1920+44000+1000</f>
        <v>46920</v>
      </c>
      <c r="F7" s="27"/>
      <c r="G7" s="28"/>
      <c r="H7" s="29">
        <f t="shared" si="0"/>
        <v>46920</v>
      </c>
      <c r="I7" s="30">
        <f t="shared" si="1"/>
        <v>46920</v>
      </c>
      <c r="J7" s="35">
        <v>41088</v>
      </c>
      <c r="K7" s="31">
        <v>41818</v>
      </c>
      <c r="L7" s="32">
        <v>10812</v>
      </c>
    </row>
    <row r="8" spans="1:35" ht="24" x14ac:dyDescent="0.2">
      <c r="A8" s="24" t="s">
        <v>1268</v>
      </c>
      <c r="B8" s="34">
        <v>15527</v>
      </c>
      <c r="C8" s="34" t="s">
        <v>1269</v>
      </c>
      <c r="D8" s="25" t="s">
        <v>585</v>
      </c>
      <c r="E8" s="26">
        <f>4000+28535+3544</f>
        <v>36079</v>
      </c>
      <c r="F8" s="27"/>
      <c r="G8" s="28">
        <v>9600</v>
      </c>
      <c r="H8" s="29">
        <f t="shared" si="0"/>
        <v>45679</v>
      </c>
      <c r="I8" s="30">
        <f t="shared" si="1"/>
        <v>45679</v>
      </c>
      <c r="J8" s="35">
        <v>41088</v>
      </c>
      <c r="K8" s="31">
        <v>41818</v>
      </c>
      <c r="L8" s="32">
        <v>10566</v>
      </c>
    </row>
    <row r="9" spans="1:35" ht="24" x14ac:dyDescent="0.2">
      <c r="A9" s="24" t="s">
        <v>1271</v>
      </c>
      <c r="B9" s="34">
        <v>15768</v>
      </c>
      <c r="C9" s="34" t="s">
        <v>1272</v>
      </c>
      <c r="D9" s="25" t="s">
        <v>585</v>
      </c>
      <c r="E9" s="26">
        <f>5040+6460</f>
        <v>11500</v>
      </c>
      <c r="F9" s="27"/>
      <c r="G9" s="28">
        <v>3500</v>
      </c>
      <c r="H9" s="29">
        <f t="shared" si="0"/>
        <v>15000</v>
      </c>
      <c r="I9" s="30">
        <f t="shared" si="1"/>
        <v>15000</v>
      </c>
      <c r="J9" s="35">
        <v>41088</v>
      </c>
      <c r="K9" s="31">
        <v>41818</v>
      </c>
      <c r="L9" s="32">
        <v>10806</v>
      </c>
    </row>
    <row r="10" spans="1:35" ht="24" x14ac:dyDescent="0.2">
      <c r="A10" s="24" t="s">
        <v>1280</v>
      </c>
      <c r="B10" s="34">
        <v>18085</v>
      </c>
      <c r="C10" s="34" t="s">
        <v>1281</v>
      </c>
      <c r="D10" s="25" t="s">
        <v>585</v>
      </c>
      <c r="E10" s="26">
        <f>9723.5+1458.27</f>
        <v>11181.77</v>
      </c>
      <c r="F10" s="27"/>
      <c r="G10" s="28">
        <v>13806.8</v>
      </c>
      <c r="H10" s="29">
        <f t="shared" si="0"/>
        <v>24988.57</v>
      </c>
      <c r="I10" s="30">
        <f t="shared" si="1"/>
        <v>24988.57</v>
      </c>
      <c r="J10" s="35">
        <v>41088</v>
      </c>
      <c r="K10" s="31">
        <v>41818</v>
      </c>
      <c r="L10" s="32">
        <v>10532</v>
      </c>
    </row>
    <row r="11" spans="1:35" ht="24" x14ac:dyDescent="0.2">
      <c r="A11" s="24" t="s">
        <v>1286</v>
      </c>
      <c r="B11" s="34">
        <v>19281</v>
      </c>
      <c r="C11" s="34" t="s">
        <v>1287</v>
      </c>
      <c r="D11" s="25" t="s">
        <v>585</v>
      </c>
      <c r="E11" s="26">
        <f>45375.4+600</f>
        <v>45975.4</v>
      </c>
      <c r="F11" s="27"/>
      <c r="G11" s="28"/>
      <c r="H11" s="29">
        <f t="shared" si="0"/>
        <v>45975.4</v>
      </c>
      <c r="I11" s="30">
        <f t="shared" si="1"/>
        <v>45975.4</v>
      </c>
      <c r="J11" s="35">
        <v>41088</v>
      </c>
      <c r="K11" s="31">
        <v>41818</v>
      </c>
      <c r="L11" s="32">
        <v>10580</v>
      </c>
    </row>
    <row r="12" spans="1:35" ht="24" x14ac:dyDescent="0.2">
      <c r="A12" s="24" t="s">
        <v>1295</v>
      </c>
      <c r="B12" s="34">
        <v>22122</v>
      </c>
      <c r="C12" s="34" t="s">
        <v>1296</v>
      </c>
      <c r="D12" s="25" t="s">
        <v>585</v>
      </c>
      <c r="E12" s="26">
        <v>25000</v>
      </c>
      <c r="F12" s="27"/>
      <c r="G12" s="28"/>
      <c r="H12" s="29">
        <f t="shared" si="0"/>
        <v>25000</v>
      </c>
      <c r="I12" s="30">
        <f t="shared" si="1"/>
        <v>25000</v>
      </c>
      <c r="J12" s="35">
        <v>41088</v>
      </c>
      <c r="K12" s="31">
        <v>41818</v>
      </c>
      <c r="L12" s="32">
        <v>10780</v>
      </c>
    </row>
    <row r="13" spans="1:35" ht="24" x14ac:dyDescent="0.2">
      <c r="A13" s="24" t="s">
        <v>1298</v>
      </c>
      <c r="B13" s="34">
        <v>22261</v>
      </c>
      <c r="C13" s="34" t="s">
        <v>1299</v>
      </c>
      <c r="D13" s="25" t="s">
        <v>585</v>
      </c>
      <c r="E13" s="26">
        <v>25000</v>
      </c>
      <c r="F13" s="27"/>
      <c r="G13" s="28">
        <v>20000</v>
      </c>
      <c r="H13" s="29">
        <f t="shared" si="0"/>
        <v>45000</v>
      </c>
      <c r="I13" s="30">
        <f t="shared" si="1"/>
        <v>45000</v>
      </c>
      <c r="J13" s="35">
        <v>41127</v>
      </c>
      <c r="K13" s="31">
        <v>41857</v>
      </c>
      <c r="L13" s="32"/>
    </row>
    <row r="14" spans="1:35" ht="24" x14ac:dyDescent="0.2">
      <c r="A14" s="24" t="s">
        <v>1301</v>
      </c>
      <c r="B14" s="34">
        <v>22374</v>
      </c>
      <c r="C14" s="34" t="s">
        <v>1302</v>
      </c>
      <c r="D14" s="25" t="s">
        <v>585</v>
      </c>
      <c r="E14" s="26">
        <v>2000</v>
      </c>
      <c r="F14" s="27"/>
      <c r="G14" s="28">
        <v>11546</v>
      </c>
      <c r="H14" s="29">
        <f t="shared" si="0"/>
        <v>13546</v>
      </c>
      <c r="I14" s="30">
        <f t="shared" si="1"/>
        <v>13546</v>
      </c>
      <c r="J14" s="35">
        <v>41088</v>
      </c>
      <c r="K14" s="31">
        <v>41818</v>
      </c>
      <c r="L14" s="32">
        <v>10503</v>
      </c>
    </row>
    <row r="15" spans="1:35" ht="24" x14ac:dyDescent="0.2">
      <c r="A15" s="24" t="s">
        <v>1310</v>
      </c>
      <c r="B15" s="34">
        <v>22488</v>
      </c>
      <c r="C15" s="34" t="s">
        <v>1311</v>
      </c>
      <c r="D15" s="25" t="s">
        <v>585</v>
      </c>
      <c r="E15" s="26">
        <v>35000</v>
      </c>
      <c r="F15" s="27"/>
      <c r="G15" s="28">
        <v>10000</v>
      </c>
      <c r="H15" s="29">
        <f t="shared" si="0"/>
        <v>45000</v>
      </c>
      <c r="I15" s="30">
        <f t="shared" si="1"/>
        <v>45000</v>
      </c>
      <c r="J15" s="35">
        <v>41088</v>
      </c>
      <c r="K15" s="31">
        <v>41818</v>
      </c>
      <c r="L15" s="32">
        <v>10890</v>
      </c>
    </row>
    <row r="16" spans="1:35" ht="24" x14ac:dyDescent="0.2">
      <c r="A16" s="24" t="s">
        <v>1313</v>
      </c>
      <c r="B16" s="34">
        <v>22509</v>
      </c>
      <c r="C16" s="34" t="s">
        <v>1314</v>
      </c>
      <c r="D16" s="25" t="s">
        <v>585</v>
      </c>
      <c r="E16" s="26">
        <v>50000</v>
      </c>
      <c r="F16" s="27"/>
      <c r="G16" s="28"/>
      <c r="H16" s="29">
        <f t="shared" si="0"/>
        <v>50000</v>
      </c>
      <c r="I16" s="30">
        <f t="shared" si="1"/>
        <v>50000</v>
      </c>
      <c r="J16" s="35">
        <v>41063</v>
      </c>
      <c r="K16" s="31">
        <v>41793</v>
      </c>
      <c r="L16" s="32">
        <v>10887</v>
      </c>
    </row>
    <row r="17" spans="1:12" ht="24" x14ac:dyDescent="0.2">
      <c r="A17" s="24" t="s">
        <v>1316</v>
      </c>
      <c r="B17" s="34">
        <v>22617</v>
      </c>
      <c r="C17" s="34" t="s">
        <v>1317</v>
      </c>
      <c r="D17" s="25" t="s">
        <v>585</v>
      </c>
      <c r="E17" s="26">
        <f>8400+24550+5600</f>
        <v>38550</v>
      </c>
      <c r="F17" s="27"/>
      <c r="G17" s="28"/>
      <c r="H17" s="29">
        <f t="shared" si="0"/>
        <v>38550</v>
      </c>
      <c r="I17" s="30">
        <f t="shared" si="1"/>
        <v>38550</v>
      </c>
      <c r="J17" s="35">
        <v>41063</v>
      </c>
      <c r="K17" s="31">
        <v>41793</v>
      </c>
      <c r="L17" s="32"/>
    </row>
    <row r="18" spans="1:12" ht="27" x14ac:dyDescent="0.2">
      <c r="A18" s="24" t="s">
        <v>1328</v>
      </c>
      <c r="B18" s="34">
        <v>22711</v>
      </c>
      <c r="C18" s="34" t="s">
        <v>1329</v>
      </c>
      <c r="D18" s="25" t="s">
        <v>585</v>
      </c>
      <c r="E18" s="26">
        <v>25000</v>
      </c>
      <c r="F18" s="27"/>
      <c r="G18" s="28"/>
      <c r="H18" s="29">
        <f t="shared" si="0"/>
        <v>25000</v>
      </c>
      <c r="I18" s="30">
        <f t="shared" si="1"/>
        <v>25000</v>
      </c>
      <c r="J18" s="35">
        <v>41088</v>
      </c>
      <c r="K18" s="31">
        <v>41818</v>
      </c>
      <c r="L18" s="32"/>
    </row>
    <row r="19" spans="1:12" ht="24" x14ac:dyDescent="0.2">
      <c r="A19" s="24" t="s">
        <v>1331</v>
      </c>
      <c r="B19" s="34">
        <v>22741</v>
      </c>
      <c r="C19" s="34" t="s">
        <v>1332</v>
      </c>
      <c r="D19" s="25" t="s">
        <v>585</v>
      </c>
      <c r="E19" s="26">
        <f>360+480+1500+3000+4500</f>
        <v>9840</v>
      </c>
      <c r="F19" s="27"/>
      <c r="G19" s="28">
        <f>5400+800</f>
        <v>6200</v>
      </c>
      <c r="H19" s="29">
        <f t="shared" si="0"/>
        <v>16040</v>
      </c>
      <c r="I19" s="30">
        <f t="shared" si="1"/>
        <v>16040</v>
      </c>
      <c r="J19" s="35">
        <v>41127</v>
      </c>
      <c r="K19" s="31">
        <v>41857</v>
      </c>
      <c r="L19" s="32"/>
    </row>
    <row r="20" spans="1:12" ht="24" x14ac:dyDescent="0.2">
      <c r="A20" s="24" t="s">
        <v>1334</v>
      </c>
      <c r="B20" s="34">
        <v>22775</v>
      </c>
      <c r="C20" s="34" t="s">
        <v>1335</v>
      </c>
      <c r="D20" s="25" t="s">
        <v>585</v>
      </c>
      <c r="E20" s="26">
        <f>4800+428+16000</f>
        <v>21228</v>
      </c>
      <c r="F20" s="27"/>
      <c r="G20" s="28">
        <v>1930</v>
      </c>
      <c r="H20" s="29">
        <f t="shared" si="0"/>
        <v>23158</v>
      </c>
      <c r="I20" s="30">
        <f t="shared" si="1"/>
        <v>23158</v>
      </c>
      <c r="J20" s="35">
        <v>41088</v>
      </c>
      <c r="K20" s="31">
        <v>41818</v>
      </c>
      <c r="L20" s="32">
        <v>10581</v>
      </c>
    </row>
    <row r="21" spans="1:12" ht="24" x14ac:dyDescent="0.2">
      <c r="A21" s="24" t="s">
        <v>1337</v>
      </c>
      <c r="B21" s="34">
        <v>22783</v>
      </c>
      <c r="C21" s="34" t="s">
        <v>1338</v>
      </c>
      <c r="D21" s="25" t="s">
        <v>585</v>
      </c>
      <c r="E21" s="26">
        <f>15900-240</f>
        <v>15660</v>
      </c>
      <c r="F21" s="27">
        <v>8640</v>
      </c>
      <c r="G21" s="28"/>
      <c r="H21" s="29">
        <f t="shared" si="0"/>
        <v>24300</v>
      </c>
      <c r="I21" s="30">
        <f t="shared" si="1"/>
        <v>24300</v>
      </c>
      <c r="J21" s="35">
        <v>41127</v>
      </c>
      <c r="K21" s="31">
        <v>41857</v>
      </c>
      <c r="L21" s="32"/>
    </row>
    <row r="22" spans="1:12" ht="24" x14ac:dyDescent="0.2">
      <c r="A22" s="24" t="s">
        <v>1340</v>
      </c>
      <c r="B22" s="34">
        <v>22901</v>
      </c>
      <c r="C22" s="34" t="s">
        <v>1341</v>
      </c>
      <c r="D22" s="25" t="s">
        <v>585</v>
      </c>
      <c r="E22" s="26">
        <f>15874+152</f>
        <v>16026</v>
      </c>
      <c r="F22" s="27"/>
      <c r="G22" s="28">
        <v>28195</v>
      </c>
      <c r="H22" s="29">
        <f t="shared" si="0"/>
        <v>44221</v>
      </c>
      <c r="I22" s="30">
        <f t="shared" si="1"/>
        <v>44221</v>
      </c>
      <c r="J22" s="35">
        <v>41088</v>
      </c>
      <c r="K22" s="31">
        <v>41818</v>
      </c>
      <c r="L22" s="32">
        <v>10584</v>
      </c>
    </row>
    <row r="23" spans="1:12" ht="24" x14ac:dyDescent="0.2">
      <c r="A23" s="24" t="s">
        <v>1343</v>
      </c>
      <c r="B23" s="34">
        <v>22915</v>
      </c>
      <c r="C23" s="34" t="s">
        <v>1344</v>
      </c>
      <c r="D23" s="25" t="s">
        <v>585</v>
      </c>
      <c r="E23" s="26">
        <f>2680+1080+1728+3950</f>
        <v>9438</v>
      </c>
      <c r="F23" s="27"/>
      <c r="G23" s="28">
        <f>800+3600+429.6</f>
        <v>4829.6000000000004</v>
      </c>
      <c r="H23" s="29">
        <f t="shared" si="0"/>
        <v>14267.6</v>
      </c>
      <c r="I23" s="30">
        <f t="shared" si="1"/>
        <v>14267.6</v>
      </c>
      <c r="J23" s="35">
        <v>41088</v>
      </c>
      <c r="K23" s="31">
        <v>41818</v>
      </c>
      <c r="L23" s="32">
        <v>10585</v>
      </c>
    </row>
    <row r="24" spans="1:12" ht="24" x14ac:dyDescent="0.2">
      <c r="A24" s="24" t="s">
        <v>1346</v>
      </c>
      <c r="B24" s="34">
        <v>22926</v>
      </c>
      <c r="C24" s="34" t="s">
        <v>1347</v>
      </c>
      <c r="D24" s="25" t="s">
        <v>585</v>
      </c>
      <c r="E24" s="26">
        <f>13000+1500</f>
        <v>14500</v>
      </c>
      <c r="F24" s="27">
        <v>4320</v>
      </c>
      <c r="G24" s="28">
        <v>24950</v>
      </c>
      <c r="H24" s="29">
        <f t="shared" si="0"/>
        <v>43770</v>
      </c>
      <c r="I24" s="30">
        <f t="shared" si="1"/>
        <v>43770</v>
      </c>
      <c r="J24" s="35">
        <v>41130</v>
      </c>
      <c r="K24" s="31">
        <v>41860</v>
      </c>
      <c r="L24" s="32"/>
    </row>
    <row r="25" spans="1:12" ht="24" x14ac:dyDescent="0.2">
      <c r="A25" s="24" t="s">
        <v>1361</v>
      </c>
      <c r="B25" s="34">
        <v>23185</v>
      </c>
      <c r="C25" s="34" t="s">
        <v>1362</v>
      </c>
      <c r="D25" s="25" t="s">
        <v>585</v>
      </c>
      <c r="E25" s="26">
        <v>12400</v>
      </c>
      <c r="F25" s="27"/>
      <c r="G25" s="28">
        <v>12600</v>
      </c>
      <c r="H25" s="29">
        <f t="shared" si="0"/>
        <v>25000</v>
      </c>
      <c r="I25" s="30">
        <f t="shared" si="1"/>
        <v>25000</v>
      </c>
      <c r="J25" s="35">
        <v>41088</v>
      </c>
      <c r="K25" s="31">
        <v>41818</v>
      </c>
      <c r="L25" s="32">
        <v>10501</v>
      </c>
    </row>
    <row r="26" spans="1:12" ht="24" x14ac:dyDescent="0.2">
      <c r="A26" s="24" t="s">
        <v>1364</v>
      </c>
      <c r="B26" s="34">
        <v>23209</v>
      </c>
      <c r="C26" s="34" t="s">
        <v>1365</v>
      </c>
      <c r="D26" s="25" t="s">
        <v>585</v>
      </c>
      <c r="E26" s="26">
        <f>19600+6000</f>
        <v>25600</v>
      </c>
      <c r="F26" s="27"/>
      <c r="G26" s="28">
        <v>22700</v>
      </c>
      <c r="H26" s="29">
        <f t="shared" si="0"/>
        <v>48300</v>
      </c>
      <c r="I26" s="30">
        <f t="shared" si="1"/>
        <v>48300</v>
      </c>
      <c r="J26" s="35">
        <v>41088</v>
      </c>
      <c r="K26" s="31">
        <v>41818</v>
      </c>
      <c r="L26" s="32">
        <v>10479</v>
      </c>
    </row>
    <row r="27" spans="1:12" ht="24" x14ac:dyDescent="0.2">
      <c r="A27" s="24" t="s">
        <v>1367</v>
      </c>
      <c r="B27" s="34">
        <v>23294</v>
      </c>
      <c r="C27" s="34" t="s">
        <v>1368</v>
      </c>
      <c r="D27" s="25" t="s">
        <v>585</v>
      </c>
      <c r="E27" s="26">
        <f>7500+5667</f>
        <v>13167</v>
      </c>
      <c r="F27" s="27"/>
      <c r="G27" s="28">
        <v>26864</v>
      </c>
      <c r="H27" s="29">
        <f t="shared" si="0"/>
        <v>40031</v>
      </c>
      <c r="I27" s="30">
        <f t="shared" si="1"/>
        <v>40031</v>
      </c>
      <c r="J27" s="35">
        <v>41063</v>
      </c>
      <c r="K27" s="31">
        <v>41793</v>
      </c>
      <c r="L27" s="32">
        <v>10892</v>
      </c>
    </row>
    <row r="28" spans="1:12" ht="24" x14ac:dyDescent="0.2">
      <c r="A28" s="24" t="s">
        <v>1373</v>
      </c>
      <c r="B28" s="34">
        <v>23358</v>
      </c>
      <c r="C28" s="34" t="s">
        <v>189</v>
      </c>
      <c r="D28" s="25" t="s">
        <v>585</v>
      </c>
      <c r="E28" s="26">
        <v>7578.7</v>
      </c>
      <c r="F28" s="27"/>
      <c r="G28" s="28">
        <v>42421.3</v>
      </c>
      <c r="H28" s="29">
        <f t="shared" si="0"/>
        <v>50000</v>
      </c>
      <c r="I28" s="30">
        <f t="shared" si="1"/>
        <v>50000</v>
      </c>
      <c r="J28" s="35">
        <v>41127</v>
      </c>
      <c r="K28" s="31">
        <v>41857</v>
      </c>
      <c r="L28" s="32"/>
    </row>
    <row r="29" spans="1:12" ht="24" x14ac:dyDescent="0.2">
      <c r="A29" s="24" t="s">
        <v>1378</v>
      </c>
      <c r="B29" s="34">
        <v>23485</v>
      </c>
      <c r="C29" s="34" t="s">
        <v>196</v>
      </c>
      <c r="D29" s="25" t="s">
        <v>585</v>
      </c>
      <c r="E29" s="26">
        <f>22338+2200</f>
        <v>24538</v>
      </c>
      <c r="F29" s="27"/>
      <c r="G29" s="28"/>
      <c r="H29" s="29">
        <f t="shared" si="0"/>
        <v>24538</v>
      </c>
      <c r="I29" s="30">
        <f t="shared" si="1"/>
        <v>24538</v>
      </c>
      <c r="J29" s="35">
        <v>41063</v>
      </c>
      <c r="K29" s="31">
        <v>41793</v>
      </c>
      <c r="L29" s="32">
        <v>10881</v>
      </c>
    </row>
    <row r="30" spans="1:12" ht="24" x14ac:dyDescent="0.2">
      <c r="A30" s="24" t="s">
        <v>1389</v>
      </c>
      <c r="B30" s="34">
        <v>23624</v>
      </c>
      <c r="C30" s="34" t="s">
        <v>163</v>
      </c>
      <c r="D30" s="25" t="s">
        <v>585</v>
      </c>
      <c r="E30" s="26">
        <v>2920</v>
      </c>
      <c r="F30" s="27">
        <v>8640</v>
      </c>
      <c r="G30" s="28">
        <v>2500</v>
      </c>
      <c r="H30" s="29">
        <f t="shared" si="0"/>
        <v>14060</v>
      </c>
      <c r="I30" s="30">
        <f t="shared" si="1"/>
        <v>14060</v>
      </c>
      <c r="J30" s="35">
        <v>41063</v>
      </c>
      <c r="K30" s="31">
        <v>41793</v>
      </c>
      <c r="L30" s="32">
        <v>10893</v>
      </c>
    </row>
    <row r="31" spans="1:12" ht="27" x14ac:dyDescent="0.2">
      <c r="A31" s="24" t="s">
        <v>1391</v>
      </c>
      <c r="B31" s="34">
        <v>23666</v>
      </c>
      <c r="C31" s="34" t="s">
        <v>1392</v>
      </c>
      <c r="D31" s="25" t="s">
        <v>585</v>
      </c>
      <c r="E31" s="26">
        <v>8000</v>
      </c>
      <c r="F31" s="27"/>
      <c r="G31" s="28">
        <v>7000</v>
      </c>
      <c r="H31" s="29">
        <f t="shared" si="0"/>
        <v>15000</v>
      </c>
      <c r="I31" s="30">
        <f t="shared" si="1"/>
        <v>15000</v>
      </c>
      <c r="J31" s="35">
        <v>41088</v>
      </c>
      <c r="K31" s="31">
        <v>41818</v>
      </c>
      <c r="L31" s="32">
        <v>10502</v>
      </c>
    </row>
    <row r="32" spans="1:12" ht="27" x14ac:dyDescent="0.2">
      <c r="A32" s="24" t="s">
        <v>1394</v>
      </c>
      <c r="B32" s="34">
        <v>23643</v>
      </c>
      <c r="C32" s="34" t="s">
        <v>1395</v>
      </c>
      <c r="D32" s="25" t="s">
        <v>585</v>
      </c>
      <c r="E32" s="26">
        <f>3600+1600+1660+3000+1000+2000+600+400</f>
        <v>13860</v>
      </c>
      <c r="F32" s="27">
        <v>8640</v>
      </c>
      <c r="G32" s="28"/>
      <c r="H32" s="29">
        <f t="shared" si="0"/>
        <v>22500</v>
      </c>
      <c r="I32" s="30">
        <f t="shared" si="1"/>
        <v>22500</v>
      </c>
      <c r="J32" s="35">
        <v>41127</v>
      </c>
      <c r="K32" s="31">
        <v>41857</v>
      </c>
      <c r="L32" s="32"/>
    </row>
    <row r="33" spans="1:12" ht="24" x14ac:dyDescent="0.2">
      <c r="A33" s="36" t="s">
        <v>1416</v>
      </c>
      <c r="B33" s="36">
        <v>1620</v>
      </c>
      <c r="C33" s="36" t="s">
        <v>1417</v>
      </c>
      <c r="D33" s="25" t="s">
        <v>308</v>
      </c>
      <c r="E33" s="37">
        <v>18430</v>
      </c>
      <c r="F33" s="38"/>
      <c r="G33" s="39"/>
      <c r="H33" s="40">
        <f t="shared" si="0"/>
        <v>18430</v>
      </c>
      <c r="I33" s="19">
        <f t="shared" si="1"/>
        <v>18430</v>
      </c>
      <c r="J33" s="35">
        <v>41092</v>
      </c>
      <c r="K33" s="31">
        <v>41276</v>
      </c>
      <c r="L33" s="32">
        <v>10882</v>
      </c>
    </row>
    <row r="34" spans="1:12" ht="36" x14ac:dyDescent="0.2">
      <c r="A34" s="24" t="s">
        <v>1550</v>
      </c>
      <c r="B34" s="41">
        <v>25274</v>
      </c>
      <c r="C34" s="41" t="s">
        <v>1551</v>
      </c>
      <c r="D34" s="25" t="s">
        <v>21</v>
      </c>
      <c r="E34" s="26">
        <v>6000</v>
      </c>
      <c r="F34" s="27"/>
      <c r="G34" s="28"/>
      <c r="H34" s="29">
        <v>3894</v>
      </c>
      <c r="I34" s="30">
        <v>3894</v>
      </c>
      <c r="J34" s="35">
        <v>41092</v>
      </c>
      <c r="K34" s="31">
        <v>41215</v>
      </c>
      <c r="L34" s="32">
        <v>10880</v>
      </c>
    </row>
    <row r="35" spans="1:12" x14ac:dyDescent="0.2">
      <c r="A35" s="24" t="s">
        <v>1635</v>
      </c>
      <c r="B35" s="42">
        <v>22665</v>
      </c>
      <c r="C35" s="24" t="s">
        <v>1266</v>
      </c>
      <c r="D35" s="25" t="s">
        <v>1558</v>
      </c>
      <c r="E35" s="26"/>
      <c r="F35" s="27">
        <v>39600</v>
      </c>
      <c r="G35" s="28"/>
      <c r="H35" s="29">
        <v>39600</v>
      </c>
      <c r="I35" s="30">
        <v>39600</v>
      </c>
      <c r="J35" s="35">
        <v>41122</v>
      </c>
      <c r="K35" s="31">
        <v>41699</v>
      </c>
      <c r="L35" s="32"/>
    </row>
    <row r="36" spans="1:12" s="15" customFormat="1" ht="36" x14ac:dyDescent="0.2">
      <c r="A36" s="36" t="s">
        <v>1798</v>
      </c>
      <c r="B36" s="36">
        <v>25872</v>
      </c>
      <c r="C36" s="36" t="s">
        <v>1799</v>
      </c>
      <c r="D36" s="25" t="s">
        <v>21</v>
      </c>
      <c r="E36" s="37">
        <v>4869.2</v>
      </c>
      <c r="F36" s="38"/>
      <c r="G36" s="39"/>
      <c r="H36" s="29">
        <f>SUM(I36)</f>
        <v>4869.2</v>
      </c>
      <c r="I36" s="30">
        <f>SUM(E36:G36)</f>
        <v>4869.2</v>
      </c>
      <c r="J36" s="35">
        <v>41153</v>
      </c>
      <c r="K36" s="31">
        <v>41275</v>
      </c>
      <c r="L36" s="32"/>
    </row>
    <row r="37" spans="1:12" s="15" customFormat="1" ht="24" x14ac:dyDescent="0.2">
      <c r="A37" s="24" t="s">
        <v>1819</v>
      </c>
      <c r="B37" s="34">
        <v>23005</v>
      </c>
      <c r="C37" s="34" t="s">
        <v>1820</v>
      </c>
      <c r="D37" s="25" t="s">
        <v>585</v>
      </c>
      <c r="E37" s="26">
        <f>3960+2000+2000+3000+2000</f>
        <v>12960</v>
      </c>
      <c r="F37" s="27"/>
      <c r="G37" s="28">
        <f>4800+4000</f>
        <v>8800</v>
      </c>
      <c r="H37" s="29">
        <f>I37</f>
        <v>21760</v>
      </c>
      <c r="I37" s="30">
        <f>SUM(E37:G37)</f>
        <v>21760</v>
      </c>
      <c r="J37" s="35">
        <v>41130</v>
      </c>
      <c r="K37" s="31">
        <v>41860</v>
      </c>
      <c r="L37" s="32"/>
    </row>
    <row r="38" spans="1:12" s="15" customFormat="1" ht="24" x14ac:dyDescent="0.2">
      <c r="A38" s="36" t="s">
        <v>1867</v>
      </c>
      <c r="B38" s="36">
        <v>32610</v>
      </c>
      <c r="C38" s="36" t="s">
        <v>1868</v>
      </c>
      <c r="D38" s="25" t="s">
        <v>308</v>
      </c>
      <c r="E38" s="37">
        <v>10917</v>
      </c>
      <c r="F38" s="38"/>
      <c r="G38" s="39"/>
      <c r="H38" s="40">
        <f>I38</f>
        <v>10917</v>
      </c>
      <c r="I38" s="19">
        <f>SUM(E38:G38)</f>
        <v>10917</v>
      </c>
      <c r="J38" s="35">
        <v>41122</v>
      </c>
      <c r="K38" s="31">
        <v>41306</v>
      </c>
      <c r="L38" s="32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8</vt:i4>
      </vt:variant>
    </vt:vector>
  </HeadingPairs>
  <TitlesOfParts>
    <vt:vector size="10" baseType="lpstr">
      <vt:lpstr>Geral</vt:lpstr>
      <vt:lpstr>ufpr</vt:lpstr>
      <vt:lpstr>Geral!Excel_BuiltIn__FilterDatabase</vt:lpstr>
      <vt:lpstr>Geral!Excel_BuiltIn__FilterDatabase_1</vt:lpstr>
      <vt:lpstr>Geral!Excel_BuiltIn__FilterDatabase_1_1</vt:lpstr>
      <vt:lpstr>Geral!Excel_BuiltIn__FilterDatabase_1_1_1</vt:lpstr>
      <vt:lpstr>Geral!Excel_BuiltIn__FilterDatabase_1_1_1_1</vt:lpstr>
      <vt:lpstr>Geral!Excel_BuiltIn__FilterDatabase_1_2</vt:lpstr>
      <vt:lpstr>Geral!Excel_BuiltIn__FilterDatabase_1_3</vt:lpstr>
      <vt:lpstr>Geral!Excel_BuiltIn__FilterDatabase_1_4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Marcelo Barao</cp:lastModifiedBy>
  <cp:lastPrinted>2017-05-09T14:17:11Z</cp:lastPrinted>
  <dcterms:created xsi:type="dcterms:W3CDTF">2017-05-09T14:13:47Z</dcterms:created>
  <dcterms:modified xsi:type="dcterms:W3CDTF">2017-05-09T14:20:49Z</dcterms:modified>
</cp:coreProperties>
</file>